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ienp\Desktop\"/>
    </mc:Choice>
  </mc:AlternateContent>
  <xr:revisionPtr revIDLastSave="0" documentId="13_ncr:1_{AA38DAE9-9A03-4896-A18B-5B24B7C4DA62}" xr6:coauthVersionLast="44" xr6:coauthVersionMax="44" xr10:uidLastSave="{00000000-0000-0000-0000-000000000000}"/>
  <bookViews>
    <workbookView xWindow="28680" yWindow="-120" windowWidth="25440" windowHeight="15390" tabRatio="740" xr2:uid="{00000000-000D-0000-FFFF-FFFF00000000}"/>
  </bookViews>
  <sheets>
    <sheet name="InputOutput" sheetId="29" r:id="rId1"/>
    <sheet name="GasesSummary" sheetId="31" r:id="rId2"/>
    <sheet name="Budget tables" sheetId="44" r:id="rId3"/>
    <sheet name="WAM" sheetId="42" r:id="rId4"/>
    <sheet name="Scenario 51-51%" sheetId="34" r:id="rId5"/>
    <sheet name="Scenario 57-40%" sheetId="19" r:id="rId6"/>
    <sheet name="Scenario 61-33%" sheetId="18" r:id="rId7"/>
    <sheet name="Scenario 65-25%" sheetId="17" r:id="rId8"/>
    <sheet name="Scenario 69-19%" sheetId="33" r:id="rId9"/>
    <sheet name="WAM Projections" sheetId="43" r:id="rId10"/>
    <sheet name="TIM_Output" sheetId="39" r:id="rId11"/>
    <sheet name="LULUCF Models" sheetId="50" r:id="rId12"/>
    <sheet name="CO2 1990-2019" sheetId="7" r:id="rId13"/>
    <sheet name="CH4 1990-2019" sheetId="8" r:id="rId14"/>
    <sheet name="N2O 1990-2019" sheetId="9" r:id="rId15"/>
    <sheet name="All GHGs 1990-2019" sheetId="6" r:id="rId16"/>
    <sheet name="F-Gases" sheetId="40" r:id="rId17"/>
    <sheet name="Other GHG 1990-2019" sheetId="1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6" i="29" l="1"/>
  <c r="X21" i="29"/>
  <c r="W31" i="29"/>
  <c r="W26" i="29"/>
  <c r="X31" i="29" l="1"/>
  <c r="X30" i="29"/>
  <c r="X29" i="29"/>
  <c r="X28" i="29"/>
  <c r="X27" i="29"/>
  <c r="X26" i="29"/>
  <c r="X25" i="29"/>
  <c r="X24" i="29"/>
  <c r="X23" i="29"/>
  <c r="X22" i="29"/>
  <c r="R12" i="29" l="1"/>
  <c r="Q12" i="29"/>
  <c r="R11" i="29"/>
  <c r="R10" i="29"/>
  <c r="Q11" i="29"/>
  <c r="Q10" i="29"/>
  <c r="B22" i="42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B55" i="42" s="1"/>
  <c r="B56" i="42" s="1"/>
  <c r="B57" i="42" s="1"/>
  <c r="B58" i="42" s="1"/>
  <c r="B59" i="42" s="1"/>
  <c r="B60" i="42" s="1"/>
  <c r="B61" i="42" s="1"/>
  <c r="B62" i="42" s="1"/>
  <c r="B63" i="42" s="1"/>
  <c r="B64" i="42" s="1"/>
  <c r="B65" i="42" s="1"/>
  <c r="B66" i="42" s="1"/>
  <c r="B67" i="42" s="1"/>
  <c r="B68" i="42" s="1"/>
  <c r="B69" i="42" s="1"/>
  <c r="B70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B84" i="42" s="1"/>
  <c r="B85" i="42" s="1"/>
  <c r="B86" i="42" s="1"/>
  <c r="B87" i="42" s="1"/>
  <c r="B88" i="42" s="1"/>
  <c r="B89" i="42" s="1"/>
  <c r="B90" i="42" s="1"/>
  <c r="B21" i="42"/>
  <c r="U22" i="29"/>
  <c r="V21" i="29"/>
  <c r="U21" i="29"/>
  <c r="T21" i="29"/>
  <c r="S21" i="29"/>
  <c r="R21" i="29"/>
  <c r="Q21" i="29"/>
  <c r="V20" i="29"/>
  <c r="U20" i="29"/>
  <c r="T20" i="29"/>
  <c r="S20" i="29"/>
  <c r="R20" i="29"/>
  <c r="Q20" i="29"/>
  <c r="V19" i="29"/>
  <c r="U19" i="29"/>
  <c r="T19" i="29"/>
  <c r="S19" i="29"/>
  <c r="R19" i="29"/>
  <c r="Q19" i="29"/>
  <c r="V18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G17" i="31"/>
  <c r="G16" i="31"/>
  <c r="G15" i="31"/>
  <c r="F18" i="31"/>
  <c r="F17" i="31"/>
  <c r="E17" i="31"/>
  <c r="D17" i="31"/>
  <c r="C17" i="31"/>
  <c r="B17" i="31"/>
  <c r="F16" i="31"/>
  <c r="E16" i="31"/>
  <c r="D16" i="31"/>
  <c r="C16" i="31"/>
  <c r="B16" i="31"/>
  <c r="F15" i="31"/>
  <c r="E15" i="31"/>
  <c r="D15" i="31"/>
  <c r="B15" i="31"/>
  <c r="C15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E14" i="29"/>
  <c r="D1" i="33"/>
  <c r="D1" i="18"/>
  <c r="D1" i="19"/>
  <c r="D13" i="29"/>
  <c r="E13" i="29"/>
  <c r="AU11" i="39" s="1"/>
  <c r="C1" i="33"/>
  <c r="D1" i="17"/>
  <c r="C1" i="17"/>
  <c r="C1" i="18"/>
  <c r="C1" i="19"/>
  <c r="B23" i="33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22" i="33"/>
  <c r="B21" i="33"/>
  <c r="B23" i="17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22" i="17"/>
  <c r="B21" i="17"/>
  <c r="B23" i="18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22" i="18"/>
  <c r="B21" i="18"/>
  <c r="B22" i="34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21" i="34"/>
  <c r="D10" i="29"/>
  <c r="E1" i="34" s="1"/>
  <c r="E10" i="29"/>
  <c r="AR11" i="39" s="1"/>
  <c r="C1" i="34"/>
  <c r="BV14" i="31"/>
  <c r="BU14" i="31"/>
  <c r="BT14" i="31"/>
  <c r="BS14" i="31"/>
  <c r="BR14" i="31"/>
  <c r="BQ14" i="31"/>
  <c r="BQ13" i="31"/>
  <c r="BQ12" i="31"/>
  <c r="BQ11" i="31"/>
  <c r="BQ10" i="31"/>
  <c r="BQ9" i="31"/>
  <c r="BQ8" i="31"/>
  <c r="BQ57" i="31"/>
  <c r="BQ56" i="31"/>
  <c r="BQ55" i="31"/>
  <c r="BQ54" i="31"/>
  <c r="BQ53" i="31"/>
  <c r="BQ52" i="31"/>
  <c r="BQ51" i="31"/>
  <c r="BQ50" i="31"/>
  <c r="BQ49" i="31"/>
  <c r="BQ48" i="31"/>
  <c r="BQ47" i="31"/>
  <c r="BQ46" i="31"/>
  <c r="BQ45" i="31"/>
  <c r="BQ44" i="31"/>
  <c r="BQ43" i="31"/>
  <c r="BQ42" i="31"/>
  <c r="BQ41" i="31"/>
  <c r="BQ40" i="31"/>
  <c r="BQ39" i="31"/>
  <c r="BQ38" i="31"/>
  <c r="BQ37" i="31"/>
  <c r="BQ36" i="31"/>
  <c r="BQ35" i="31"/>
  <c r="BQ34" i="31"/>
  <c r="BQ33" i="31"/>
  <c r="BQ32" i="31"/>
  <c r="BQ31" i="31"/>
  <c r="BQ30" i="31"/>
  <c r="BQ29" i="31"/>
  <c r="BQ28" i="31"/>
  <c r="BQ27" i="31"/>
  <c r="BQ26" i="31"/>
  <c r="BQ25" i="31"/>
  <c r="BQ24" i="31"/>
  <c r="BQ23" i="31"/>
  <c r="BQ22" i="31"/>
  <c r="BQ21" i="31"/>
  <c r="BQ20" i="31"/>
  <c r="BQ19" i="31"/>
  <c r="BQ18" i="31"/>
  <c r="BQ17" i="31"/>
  <c r="BQ16" i="31"/>
  <c r="BQ15" i="31"/>
  <c r="AW57" i="31"/>
  <c r="AW56" i="31"/>
  <c r="AW55" i="31"/>
  <c r="AW54" i="31"/>
  <c r="AW53" i="31"/>
  <c r="AW52" i="31"/>
  <c r="AW51" i="31"/>
  <c r="AW50" i="31"/>
  <c r="AW49" i="31"/>
  <c r="AW48" i="31"/>
  <c r="AW47" i="31"/>
  <c r="AW46" i="31"/>
  <c r="AW45" i="31"/>
  <c r="AW44" i="31"/>
  <c r="AW43" i="31"/>
  <c r="AW42" i="31"/>
  <c r="AW41" i="31"/>
  <c r="AW40" i="31"/>
  <c r="AW39" i="31"/>
  <c r="AW38" i="31"/>
  <c r="AW37" i="31"/>
  <c r="AW36" i="31"/>
  <c r="AW35" i="31"/>
  <c r="AW34" i="31"/>
  <c r="AW33" i="31"/>
  <c r="AW32" i="31"/>
  <c r="AW31" i="31"/>
  <c r="AW30" i="31"/>
  <c r="AW29" i="31"/>
  <c r="AW28" i="31"/>
  <c r="AW27" i="31"/>
  <c r="AW26" i="31"/>
  <c r="AW25" i="31"/>
  <c r="AW24" i="31"/>
  <c r="AW23" i="31"/>
  <c r="AW22" i="31"/>
  <c r="AW21" i="31"/>
  <c r="AW20" i="31"/>
  <c r="AW19" i="31"/>
  <c r="AW18" i="31"/>
  <c r="AW17" i="31"/>
  <c r="AW16" i="31"/>
  <c r="AW15" i="31"/>
  <c r="AM57" i="31"/>
  <c r="AM56" i="31"/>
  <c r="AM55" i="31"/>
  <c r="AM54" i="31"/>
  <c r="AM53" i="31"/>
  <c r="AM52" i="31"/>
  <c r="AM51" i="31"/>
  <c r="AM50" i="31"/>
  <c r="AM49" i="31"/>
  <c r="AM48" i="31"/>
  <c r="AM47" i="31"/>
  <c r="AM46" i="31"/>
  <c r="AM45" i="31"/>
  <c r="AM44" i="31"/>
  <c r="AM43" i="31"/>
  <c r="AM42" i="31"/>
  <c r="AM41" i="31"/>
  <c r="AM40" i="31"/>
  <c r="AM39" i="31"/>
  <c r="AM38" i="31"/>
  <c r="AM37" i="31"/>
  <c r="AM36" i="31"/>
  <c r="AM35" i="31"/>
  <c r="AM34" i="31"/>
  <c r="AM33" i="31"/>
  <c r="AM32" i="31"/>
  <c r="AM31" i="31"/>
  <c r="AM30" i="31"/>
  <c r="AM29" i="31"/>
  <c r="AM28" i="31"/>
  <c r="AM27" i="31"/>
  <c r="AM26" i="31"/>
  <c r="AM25" i="31"/>
  <c r="AM24" i="31"/>
  <c r="AM23" i="31"/>
  <c r="AM22" i="31"/>
  <c r="AM21" i="31"/>
  <c r="AM20" i="31"/>
  <c r="AM19" i="31"/>
  <c r="AM18" i="31"/>
  <c r="AM17" i="31"/>
  <c r="AM16" i="31"/>
  <c r="AM15" i="31"/>
  <c r="AC57" i="31"/>
  <c r="AC56" i="31"/>
  <c r="AC55" i="31"/>
  <c r="AC54" i="31"/>
  <c r="AC53" i="31"/>
  <c r="AC52" i="31"/>
  <c r="AC51" i="31"/>
  <c r="AC50" i="31"/>
  <c r="AC49" i="31"/>
  <c r="AC48" i="31"/>
  <c r="AC47" i="31"/>
  <c r="AC46" i="31"/>
  <c r="AC45" i="31"/>
  <c r="AC44" i="31"/>
  <c r="AC43" i="31"/>
  <c r="AC42" i="31"/>
  <c r="AC41" i="31"/>
  <c r="AC40" i="31"/>
  <c r="AC39" i="31"/>
  <c r="AC38" i="31"/>
  <c r="AC37" i="31"/>
  <c r="AC36" i="31"/>
  <c r="AC35" i="31"/>
  <c r="AC34" i="31"/>
  <c r="AC33" i="31"/>
  <c r="AC32" i="31"/>
  <c r="AC31" i="31"/>
  <c r="AC30" i="31"/>
  <c r="AC29" i="31"/>
  <c r="AC28" i="31"/>
  <c r="AC27" i="31"/>
  <c r="AC26" i="31"/>
  <c r="AC25" i="31"/>
  <c r="AC24" i="31"/>
  <c r="AC23" i="31"/>
  <c r="AC22" i="31"/>
  <c r="AC21" i="31"/>
  <c r="AC20" i="31"/>
  <c r="AC19" i="31"/>
  <c r="AC18" i="31"/>
  <c r="AC17" i="31"/>
  <c r="AC16" i="31"/>
  <c r="AC15" i="31"/>
  <c r="S57" i="31"/>
  <c r="S56" i="31"/>
  <c r="S55" i="31"/>
  <c r="S54" i="31"/>
  <c r="S53" i="31"/>
  <c r="S52" i="31"/>
  <c r="S51" i="31"/>
  <c r="S50" i="31"/>
  <c r="S49" i="31"/>
  <c r="S48" i="31"/>
  <c r="S47" i="31"/>
  <c r="S46" i="31"/>
  <c r="S45" i="31"/>
  <c r="S44" i="31"/>
  <c r="S43" i="31"/>
  <c r="S42" i="31"/>
  <c r="S41" i="31"/>
  <c r="S40" i="31"/>
  <c r="S39" i="31"/>
  <c r="S38" i="31"/>
  <c r="S37" i="31"/>
  <c r="S36" i="31"/>
  <c r="S35" i="31"/>
  <c r="S34" i="31"/>
  <c r="S33" i="31"/>
  <c r="S32" i="31"/>
  <c r="S31" i="31"/>
  <c r="S30" i="31"/>
  <c r="S29" i="31"/>
  <c r="S28" i="31"/>
  <c r="S2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B22" i="19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21" i="19"/>
  <c r="BQ67" i="31"/>
  <c r="CH36" i="31"/>
  <c r="C20" i="34"/>
  <c r="D20" i="34"/>
  <c r="E20" i="34"/>
  <c r="G20" i="34" s="1"/>
  <c r="D1" i="34" l="1"/>
  <c r="AY7" i="31" l="1"/>
  <c r="AX7" i="31"/>
  <c r="AW7" i="31"/>
  <c r="D14" i="29"/>
  <c r="E1" i="33" s="1"/>
  <c r="E1" i="17"/>
  <c r="E12" i="29"/>
  <c r="AT11" i="39" s="1"/>
  <c r="D12" i="29"/>
  <c r="E1" i="18" s="1"/>
  <c r="E11" i="29"/>
  <c r="AS11" i="39" s="1"/>
  <c r="D11" i="29"/>
  <c r="E1" i="19" s="1"/>
  <c r="M9" i="29"/>
  <c r="L9" i="29"/>
  <c r="K9" i="29"/>
  <c r="J9" i="29"/>
  <c r="I9" i="29"/>
  <c r="A14" i="29"/>
  <c r="A13" i="29"/>
  <c r="A12" i="29"/>
  <c r="A11" i="29"/>
  <c r="A10" i="29"/>
  <c r="E108" i="7" l="1"/>
  <c r="I109" i="8"/>
  <c r="G109" i="8"/>
  <c r="F109" i="8"/>
  <c r="F84" i="8"/>
  <c r="AF48" i="33" l="1"/>
  <c r="AF6" i="33" s="1"/>
  <c r="Z1" i="34"/>
  <c r="Z4" i="34" s="1"/>
  <c r="Z1" i="19"/>
  <c r="Z4" i="19" s="1"/>
  <c r="Z1" i="18"/>
  <c r="Z4" i="18" s="1"/>
  <c r="Z1" i="17"/>
  <c r="Z4" i="17" s="1"/>
  <c r="Z1" i="33"/>
  <c r="Z4" i="33" s="1"/>
  <c r="AF60" i="33"/>
  <c r="AA60" i="33"/>
  <c r="AF59" i="33"/>
  <c r="AA59" i="33"/>
  <c r="AF58" i="33"/>
  <c r="AA58" i="33"/>
  <c r="AF57" i="33"/>
  <c r="AA57" i="33"/>
  <c r="AF56" i="33"/>
  <c r="AA56" i="33"/>
  <c r="AF55" i="33"/>
  <c r="AA55" i="33"/>
  <c r="AF54" i="33"/>
  <c r="AA54" i="33"/>
  <c r="AF53" i="33"/>
  <c r="AA53" i="33"/>
  <c r="AF52" i="33"/>
  <c r="AA52" i="33"/>
  <c r="AF51" i="33"/>
  <c r="AA51" i="33"/>
  <c r="AF50" i="33"/>
  <c r="AA50" i="33"/>
  <c r="AF49" i="33"/>
  <c r="AE49" i="33"/>
  <c r="AA49" i="33"/>
  <c r="Z49" i="33"/>
  <c r="Z50" i="33" s="1"/>
  <c r="AE48" i="33"/>
  <c r="AA48" i="33"/>
  <c r="AA6" i="33" s="1"/>
  <c r="Z48" i="33"/>
  <c r="Z3" i="33" s="1"/>
  <c r="AF60" i="17"/>
  <c r="AA60" i="17"/>
  <c r="AF59" i="17"/>
  <c r="AA59" i="17"/>
  <c r="AF58" i="17"/>
  <c r="AA58" i="17"/>
  <c r="AF57" i="17"/>
  <c r="AA57" i="17"/>
  <c r="AF56" i="17"/>
  <c r="AA56" i="17"/>
  <c r="AF55" i="17"/>
  <c r="AA55" i="17"/>
  <c r="AF54" i="17"/>
  <c r="AA54" i="17"/>
  <c r="AF53" i="17"/>
  <c r="AA53" i="17"/>
  <c r="AF52" i="17"/>
  <c r="AA52" i="17"/>
  <c r="AF51" i="17"/>
  <c r="AA51" i="17"/>
  <c r="AF50" i="17"/>
  <c r="AA50" i="17"/>
  <c r="AF49" i="17"/>
  <c r="AE49" i="17"/>
  <c r="AE50" i="17" s="1"/>
  <c r="AE51" i="17" s="1"/>
  <c r="AA49" i="17"/>
  <c r="Z49" i="17"/>
  <c r="Z50" i="17" s="1"/>
  <c r="AF48" i="17"/>
  <c r="AE48" i="17"/>
  <c r="AA48" i="17"/>
  <c r="Z48" i="17"/>
  <c r="Z3" i="17" s="1"/>
  <c r="AF60" i="18"/>
  <c r="AA60" i="18"/>
  <c r="AF59" i="18"/>
  <c r="AA59" i="18"/>
  <c r="AF58" i="18"/>
  <c r="AA58" i="18"/>
  <c r="AF57" i="18"/>
  <c r="AA57" i="18"/>
  <c r="AF56" i="18"/>
  <c r="AA56" i="18"/>
  <c r="AF55" i="18"/>
  <c r="AA55" i="18"/>
  <c r="AF54" i="18"/>
  <c r="AA54" i="18"/>
  <c r="AF53" i="18"/>
  <c r="AA53" i="18"/>
  <c r="AF52" i="18"/>
  <c r="AA52" i="18"/>
  <c r="AF51" i="18"/>
  <c r="AA51" i="18"/>
  <c r="AF50" i="18"/>
  <c r="AA50" i="18"/>
  <c r="AF49" i="18"/>
  <c r="AE49" i="18"/>
  <c r="AE50" i="18" s="1"/>
  <c r="AA49" i="18"/>
  <c r="Z49" i="18"/>
  <c r="Z50" i="18" s="1"/>
  <c r="AF48" i="18"/>
  <c r="AF6" i="18" s="1"/>
  <c r="AE48" i="18"/>
  <c r="AE3" i="18" s="1"/>
  <c r="AA48" i="18"/>
  <c r="Z48" i="18"/>
  <c r="Z3" i="18" s="1"/>
  <c r="AF60" i="19"/>
  <c r="AA60" i="19"/>
  <c r="AF59" i="19"/>
  <c r="AA59" i="19"/>
  <c r="AF58" i="19"/>
  <c r="AA58" i="19"/>
  <c r="AF57" i="19"/>
  <c r="AA57" i="19"/>
  <c r="AF56" i="19"/>
  <c r="AA56" i="19"/>
  <c r="AF55" i="19"/>
  <c r="AA55" i="19"/>
  <c r="AF54" i="19"/>
  <c r="AA54" i="19"/>
  <c r="AF53" i="19"/>
  <c r="AA53" i="19"/>
  <c r="AF52" i="19"/>
  <c r="AA52" i="19"/>
  <c r="AF51" i="19"/>
  <c r="AA51" i="19"/>
  <c r="AF50" i="19"/>
  <c r="AA50" i="19"/>
  <c r="AF49" i="19"/>
  <c r="AE49" i="19"/>
  <c r="AE50" i="19" s="1"/>
  <c r="AA49" i="19"/>
  <c r="Z49" i="19"/>
  <c r="Z50" i="19" s="1"/>
  <c r="AF48" i="19"/>
  <c r="AF6" i="19" s="1"/>
  <c r="AE48" i="19"/>
  <c r="AA48" i="19"/>
  <c r="Z48" i="19"/>
  <c r="Z3" i="19" s="1"/>
  <c r="AF60" i="34"/>
  <c r="AF6" i="34" s="1"/>
  <c r="AF59" i="34"/>
  <c r="AF58" i="34"/>
  <c r="AF57" i="34"/>
  <c r="AF56" i="34"/>
  <c r="AF55" i="34"/>
  <c r="AF54" i="34"/>
  <c r="AF53" i="34"/>
  <c r="AF52" i="34"/>
  <c r="AF51" i="34"/>
  <c r="AF50" i="34"/>
  <c r="AF49" i="34"/>
  <c r="AF48" i="34"/>
  <c r="AE49" i="34"/>
  <c r="AG49" i="34" s="1"/>
  <c r="E49" i="34" s="1"/>
  <c r="AE48" i="34"/>
  <c r="AE3" i="34" s="1"/>
  <c r="AA49" i="34"/>
  <c r="AA48" i="34"/>
  <c r="AA6" i="34" s="1"/>
  <c r="T2" i="50"/>
  <c r="T3" i="50" s="1"/>
  <c r="S3" i="50"/>
  <c r="S2" i="50"/>
  <c r="T17" i="50"/>
  <c r="T16" i="50"/>
  <c r="S17" i="50"/>
  <c r="S16" i="50"/>
  <c r="T1" i="50"/>
  <c r="S1" i="50"/>
  <c r="AA60" i="34"/>
  <c r="AA59" i="34"/>
  <c r="AA58" i="34"/>
  <c r="AA57" i="34"/>
  <c r="AA56" i="34"/>
  <c r="AA55" i="34"/>
  <c r="AA54" i="34"/>
  <c r="AA53" i="34"/>
  <c r="AA52" i="34"/>
  <c r="AA51" i="34"/>
  <c r="AA50" i="34"/>
  <c r="Z49" i="34"/>
  <c r="AB49" i="34" s="1"/>
  <c r="D49" i="34" s="1"/>
  <c r="Z48" i="34"/>
  <c r="Z3" i="34" s="1"/>
  <c r="D3" i="34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ED60" i="31"/>
  <c r="DX60" i="31"/>
  <c r="AG49" i="33" l="1"/>
  <c r="E49" i="33" s="1"/>
  <c r="AE50" i="33"/>
  <c r="AE51" i="33" s="1"/>
  <c r="AA6" i="17"/>
  <c r="AG48" i="17"/>
  <c r="E48" i="17" s="1"/>
  <c r="AF6" i="17"/>
  <c r="AE3" i="17"/>
  <c r="AG49" i="17"/>
  <c r="E49" i="17" s="1"/>
  <c r="AA6" i="18"/>
  <c r="AG49" i="18"/>
  <c r="E49" i="18" s="1"/>
  <c r="AG48" i="18"/>
  <c r="E48" i="18" s="1"/>
  <c r="AA6" i="19"/>
  <c r="AG49" i="19"/>
  <c r="E49" i="19" s="1"/>
  <c r="AG48" i="19"/>
  <c r="E48" i="19" s="1"/>
  <c r="AE50" i="34"/>
  <c r="AB48" i="34"/>
  <c r="D48" i="34" s="1"/>
  <c r="AG48" i="34"/>
  <c r="E48" i="34" s="1"/>
  <c r="AB48" i="33"/>
  <c r="D48" i="33" s="1"/>
  <c r="Z50" i="34"/>
  <c r="Z51" i="34" s="1"/>
  <c r="AB51" i="34" s="1"/>
  <c r="D51" i="34" s="1"/>
  <c r="AB48" i="18"/>
  <c r="D48" i="18" s="1"/>
  <c r="AG48" i="33"/>
  <c r="E48" i="33" s="1"/>
  <c r="Z5" i="34"/>
  <c r="Z5" i="19"/>
  <c r="Z5" i="18"/>
  <c r="Z5" i="17"/>
  <c r="Z5" i="33"/>
  <c r="AG51" i="33"/>
  <c r="E51" i="33" s="1"/>
  <c r="Z51" i="33"/>
  <c r="AB50" i="33"/>
  <c r="D50" i="33" s="1"/>
  <c r="AB49" i="33"/>
  <c r="D49" i="33" s="1"/>
  <c r="AG50" i="33"/>
  <c r="E50" i="33" s="1"/>
  <c r="AE3" i="33"/>
  <c r="AG51" i="17"/>
  <c r="E51" i="17" s="1"/>
  <c r="Z51" i="17"/>
  <c r="AB50" i="17"/>
  <c r="D50" i="17" s="1"/>
  <c r="AG50" i="17"/>
  <c r="E50" i="17" s="1"/>
  <c r="AB48" i="17"/>
  <c r="D48" i="17" s="1"/>
  <c r="AB49" i="17"/>
  <c r="D49" i="17" s="1"/>
  <c r="Z51" i="18"/>
  <c r="AB50" i="18"/>
  <c r="D50" i="18" s="1"/>
  <c r="AE51" i="18"/>
  <c r="AG50" i="18"/>
  <c r="E50" i="18" s="1"/>
  <c r="AB49" i="18"/>
  <c r="D49" i="18" s="1"/>
  <c r="AE51" i="19"/>
  <c r="AG50" i="19"/>
  <c r="E50" i="19" s="1"/>
  <c r="AB50" i="19"/>
  <c r="D50" i="19" s="1"/>
  <c r="Z51" i="19"/>
  <c r="AB49" i="19"/>
  <c r="D49" i="19" s="1"/>
  <c r="AB48" i="19"/>
  <c r="D48" i="19" s="1"/>
  <c r="AE3" i="19"/>
  <c r="AB50" i="34"/>
  <c r="D50" i="34" s="1"/>
  <c r="AG50" i="34" l="1"/>
  <c r="E50" i="34" s="1"/>
  <c r="AE51" i="34"/>
  <c r="Z2" i="34"/>
  <c r="Z52" i="34" s="1"/>
  <c r="AB52" i="34" s="1"/>
  <c r="D52" i="34" s="1"/>
  <c r="AB51" i="33"/>
  <c r="D51" i="33" s="1"/>
  <c r="Z2" i="33"/>
  <c r="Z52" i="33" s="1"/>
  <c r="AB51" i="17"/>
  <c r="D51" i="17" s="1"/>
  <c r="Z2" i="17"/>
  <c r="Z52" i="17" s="1"/>
  <c r="AG51" i="18"/>
  <c r="E51" i="18" s="1"/>
  <c r="AB51" i="18"/>
  <c r="D51" i="18" s="1"/>
  <c r="Z2" i="18"/>
  <c r="Z52" i="18" s="1"/>
  <c r="AB51" i="19"/>
  <c r="D51" i="19" s="1"/>
  <c r="Z2" i="19"/>
  <c r="Z52" i="19" s="1"/>
  <c r="AG51" i="19"/>
  <c r="E51" i="19" s="1"/>
  <c r="Z53" i="34" l="1"/>
  <c r="Z54" i="34" s="1"/>
  <c r="AG51" i="34"/>
  <c r="E51" i="34" s="1"/>
  <c r="AB52" i="33"/>
  <c r="D52" i="33" s="1"/>
  <c r="Z53" i="33"/>
  <c r="AB52" i="17"/>
  <c r="D52" i="17" s="1"/>
  <c r="Z53" i="17"/>
  <c r="AB52" i="18"/>
  <c r="D52" i="18" s="1"/>
  <c r="Z53" i="18"/>
  <c r="AB52" i="19"/>
  <c r="D52" i="19" s="1"/>
  <c r="Z53" i="19"/>
  <c r="AB53" i="34" l="1"/>
  <c r="D53" i="34" s="1"/>
  <c r="Z55" i="34"/>
  <c r="AB54" i="34"/>
  <c r="D54" i="34" s="1"/>
  <c r="Z54" i="33"/>
  <c r="AB53" i="33"/>
  <c r="D53" i="33" s="1"/>
  <c r="Z54" i="17"/>
  <c r="AB53" i="17"/>
  <c r="D53" i="17" s="1"/>
  <c r="Z54" i="18"/>
  <c r="AB53" i="18"/>
  <c r="D53" i="18" s="1"/>
  <c r="Z54" i="19"/>
  <c r="AB53" i="19"/>
  <c r="D53" i="19" s="1"/>
  <c r="Z56" i="34" l="1"/>
  <c r="AB55" i="34"/>
  <c r="D55" i="34" s="1"/>
  <c r="AB54" i="33"/>
  <c r="D54" i="33" s="1"/>
  <c r="Z55" i="33"/>
  <c r="AB54" i="17"/>
  <c r="D54" i="17" s="1"/>
  <c r="Z55" i="17"/>
  <c r="Z55" i="18"/>
  <c r="AB54" i="18"/>
  <c r="D54" i="18" s="1"/>
  <c r="Z55" i="19"/>
  <c r="AB54" i="19"/>
  <c r="D54" i="19" s="1"/>
  <c r="Z57" i="34" l="1"/>
  <c r="AB56" i="34"/>
  <c r="D56" i="34" s="1"/>
  <c r="AB55" i="33"/>
  <c r="D55" i="33" s="1"/>
  <c r="Z56" i="33"/>
  <c r="AB55" i="17"/>
  <c r="D55" i="17" s="1"/>
  <c r="Z56" i="17"/>
  <c r="AB55" i="18"/>
  <c r="D55" i="18" s="1"/>
  <c r="Z56" i="18"/>
  <c r="AB55" i="19"/>
  <c r="D55" i="19" s="1"/>
  <c r="Z56" i="19"/>
  <c r="Z58" i="34" l="1"/>
  <c r="AB57" i="34"/>
  <c r="D57" i="34" s="1"/>
  <c r="AB56" i="33"/>
  <c r="D56" i="33" s="1"/>
  <c r="Z57" i="33"/>
  <c r="Z57" i="17"/>
  <c r="AB56" i="17"/>
  <c r="D56" i="17" s="1"/>
  <c r="AB56" i="18"/>
  <c r="D56" i="18" s="1"/>
  <c r="Z57" i="18"/>
  <c r="AB56" i="19"/>
  <c r="D56" i="19" s="1"/>
  <c r="Z57" i="19"/>
  <c r="Z59" i="34" l="1"/>
  <c r="AB58" i="34"/>
  <c r="D58" i="34" s="1"/>
  <c r="Z58" i="33"/>
  <c r="AB57" i="33"/>
  <c r="D57" i="33" s="1"/>
  <c r="Z58" i="17"/>
  <c r="AB57" i="17"/>
  <c r="D57" i="17" s="1"/>
  <c r="Z58" i="18"/>
  <c r="AB57" i="18"/>
  <c r="D57" i="18" s="1"/>
  <c r="Z58" i="19"/>
  <c r="AB57" i="19"/>
  <c r="D57" i="19" s="1"/>
  <c r="Z60" i="34" l="1"/>
  <c r="AB59" i="34"/>
  <c r="D59" i="34" s="1"/>
  <c r="Z59" i="33"/>
  <c r="AB58" i="33"/>
  <c r="D58" i="33" s="1"/>
  <c r="AB58" i="17"/>
  <c r="D58" i="17" s="1"/>
  <c r="Z59" i="17"/>
  <c r="Z59" i="18"/>
  <c r="AB58" i="18"/>
  <c r="D58" i="18" s="1"/>
  <c r="Z59" i="19"/>
  <c r="AB58" i="19"/>
  <c r="D58" i="19" s="1"/>
  <c r="Z6" i="34" l="1"/>
  <c r="AB60" i="34"/>
  <c r="AB59" i="33"/>
  <c r="D59" i="33" s="1"/>
  <c r="Z60" i="33"/>
  <c r="AB59" i="17"/>
  <c r="D59" i="17" s="1"/>
  <c r="Z60" i="17"/>
  <c r="AB59" i="18"/>
  <c r="D59" i="18" s="1"/>
  <c r="Z60" i="18"/>
  <c r="AB59" i="19"/>
  <c r="D59" i="19" s="1"/>
  <c r="Z60" i="19"/>
  <c r="AB6" i="34" l="1"/>
  <c r="D60" i="34"/>
  <c r="AB60" i="33"/>
  <c r="Z6" i="33"/>
  <c r="AB60" i="17"/>
  <c r="Z6" i="17"/>
  <c r="AB60" i="18"/>
  <c r="Z6" i="18"/>
  <c r="AB60" i="19"/>
  <c r="Z6" i="19"/>
  <c r="AB6" i="19" l="1"/>
  <c r="D60" i="19"/>
  <c r="AB6" i="18"/>
  <c r="D60" i="18"/>
  <c r="AB6" i="17"/>
  <c r="D60" i="17"/>
  <c r="AB6" i="33"/>
  <c r="D60" i="33"/>
  <c r="A60" i="19" l="1"/>
  <c r="A59" i="19"/>
  <c r="A58" i="19"/>
  <c r="A57" i="19"/>
  <c r="A56" i="19"/>
  <c r="A55" i="19"/>
  <c r="A54" i="19"/>
  <c r="A53" i="19"/>
  <c r="A52" i="19"/>
  <c r="A51" i="19"/>
  <c r="A50" i="19"/>
  <c r="P17" i="50"/>
  <c r="O17" i="50"/>
  <c r="N17" i="50"/>
  <c r="P16" i="50"/>
  <c r="O16" i="50"/>
  <c r="N16" i="50"/>
  <c r="P1" i="50"/>
  <c r="O1" i="50"/>
  <c r="N1" i="50"/>
  <c r="A60" i="18"/>
  <c r="A59" i="18"/>
  <c r="A58" i="18"/>
  <c r="A57" i="18"/>
  <c r="A56" i="18"/>
  <c r="A55" i="18"/>
  <c r="A54" i="18"/>
  <c r="A53" i="18"/>
  <c r="A52" i="18"/>
  <c r="A51" i="18"/>
  <c r="A50" i="18"/>
  <c r="E16" i="50"/>
  <c r="AF10" i="39"/>
  <c r="Z10" i="39"/>
  <c r="Y10" i="39"/>
  <c r="X10" i="39"/>
  <c r="W10" i="39"/>
  <c r="V10" i="39"/>
  <c r="O11" i="39"/>
  <c r="AG14" i="39"/>
  <c r="AF14" i="39"/>
  <c r="E30" i="44"/>
  <c r="D30" i="44"/>
  <c r="M5" i="44"/>
  <c r="N5" i="44" s="1"/>
  <c r="M4" i="44"/>
  <c r="N4" i="44" s="1"/>
  <c r="L5" i="44"/>
  <c r="L4" i="44"/>
  <c r="K5" i="44"/>
  <c r="K4" i="44"/>
  <c r="P34" i="50"/>
  <c r="O34" i="50"/>
  <c r="P33" i="50"/>
  <c r="O33" i="50"/>
  <c r="N34" i="50"/>
  <c r="Q34" i="50" s="1"/>
  <c r="N33" i="50"/>
  <c r="Q33" i="50" s="1"/>
  <c r="F22" i="50"/>
  <c r="E22" i="50"/>
  <c r="U29" i="50"/>
  <c r="U28" i="50"/>
  <c r="U27" i="50"/>
  <c r="U26" i="50"/>
  <c r="U25" i="50"/>
  <c r="U24" i="50"/>
  <c r="U23" i="50"/>
  <c r="U22" i="50"/>
  <c r="U21" i="50"/>
  <c r="U20" i="50"/>
  <c r="U19" i="50"/>
  <c r="AE4" i="50"/>
  <c r="AE19" i="50" s="1"/>
  <c r="U5" i="50"/>
  <c r="U6" i="50" s="1"/>
  <c r="U7" i="50" s="1"/>
  <c r="U8" i="50" s="1"/>
  <c r="U9" i="50" s="1"/>
  <c r="U10" i="50" s="1"/>
  <c r="U11" i="50" s="1"/>
  <c r="U12" i="50" s="1"/>
  <c r="U13" i="50" s="1"/>
  <c r="U14" i="50" s="1"/>
  <c r="U4" i="50"/>
  <c r="W2" i="50"/>
  <c r="V2" i="50"/>
  <c r="AC1" i="50"/>
  <c r="AB1" i="50"/>
  <c r="AA1" i="50"/>
  <c r="Z1" i="50"/>
  <c r="Y1" i="50"/>
  <c r="W3" i="50"/>
  <c r="W4" i="50" s="1"/>
  <c r="W5" i="50" s="1"/>
  <c r="V3" i="50"/>
  <c r="V4" i="50" s="1"/>
  <c r="T14" i="50"/>
  <c r="S14" i="50"/>
  <c r="T13" i="50"/>
  <c r="S13" i="50"/>
  <c r="T12" i="50"/>
  <c r="S12" i="50"/>
  <c r="T11" i="50"/>
  <c r="S11" i="50"/>
  <c r="T10" i="50"/>
  <c r="S10" i="50"/>
  <c r="T9" i="50"/>
  <c r="S9" i="50"/>
  <c r="T8" i="50"/>
  <c r="S8" i="50"/>
  <c r="T7" i="50"/>
  <c r="S7" i="50"/>
  <c r="T6" i="50"/>
  <c r="S6" i="50"/>
  <c r="T5" i="50"/>
  <c r="S5" i="50"/>
  <c r="T4" i="50"/>
  <c r="S4" i="50"/>
  <c r="AB2" i="50" l="1"/>
  <c r="V5" i="50"/>
  <c r="Y4" i="50"/>
  <c r="Z2" i="50"/>
  <c r="Z3" i="50" s="1"/>
  <c r="AA2" i="50"/>
  <c r="AA3" i="50" s="1"/>
  <c r="Y2" i="50"/>
  <c r="AC2" i="50"/>
  <c r="AC3" i="50" s="1"/>
  <c r="AF4" i="50"/>
  <c r="AE5" i="50"/>
  <c r="AE20" i="50" s="1"/>
  <c r="Y19" i="50" l="1"/>
  <c r="Z4" i="50"/>
  <c r="Y5" i="50"/>
  <c r="Y3" i="50"/>
  <c r="AB3" i="50"/>
  <c r="AF5" i="50"/>
  <c r="AF20" i="50" s="1"/>
  <c r="AF19" i="50"/>
  <c r="AG4" i="50"/>
  <c r="AA4" i="50" l="1"/>
  <c r="Z19" i="50"/>
  <c r="Y20" i="50"/>
  <c r="Z5" i="50"/>
  <c r="Y6" i="50"/>
  <c r="AH4" i="50"/>
  <c r="AG5" i="50"/>
  <c r="AG20" i="50" s="1"/>
  <c r="AG19" i="50"/>
  <c r="E19" i="50"/>
  <c r="E18" i="50"/>
  <c r="AG15" i="39"/>
  <c r="AW15" i="39"/>
  <c r="AW14" i="39"/>
  <c r="BB15" i="39"/>
  <c r="BB14" i="39"/>
  <c r="AC38" i="39"/>
  <c r="AC39" i="39" s="1"/>
  <c r="AC40" i="39" s="1"/>
  <c r="AC41" i="39" s="1"/>
  <c r="AC42" i="39" s="1"/>
  <c r="AC43" i="39" s="1"/>
  <c r="AC44" i="39" s="1"/>
  <c r="AC45" i="39" s="1"/>
  <c r="AC46" i="39" s="1"/>
  <c r="AC37" i="39"/>
  <c r="AC9" i="39"/>
  <c r="AF23" i="39"/>
  <c r="AC36" i="39"/>
  <c r="AC35" i="39"/>
  <c r="AC34" i="39"/>
  <c r="AC33" i="39"/>
  <c r="AC32" i="39"/>
  <c r="AC31" i="39"/>
  <c r="AC30" i="39"/>
  <c r="AC29" i="39"/>
  <c r="AC28" i="39"/>
  <c r="AC27" i="39"/>
  <c r="AC26" i="39"/>
  <c r="AC25" i="39"/>
  <c r="AC24" i="39"/>
  <c r="AC23" i="39"/>
  <c r="AC22" i="39"/>
  <c r="AC21" i="39"/>
  <c r="AC20" i="39"/>
  <c r="AC19" i="39"/>
  <c r="AC18" i="39"/>
  <c r="AC17" i="39"/>
  <c r="AC16" i="39"/>
  <c r="AC15" i="39"/>
  <c r="AF16" i="39"/>
  <c r="J15" i="39"/>
  <c r="BB26" i="39"/>
  <c r="AW26" i="39" s="1"/>
  <c r="BB25" i="39"/>
  <c r="BB24" i="39"/>
  <c r="AW24" i="39" s="1"/>
  <c r="BB23" i="39"/>
  <c r="BB22" i="39"/>
  <c r="BB21" i="39"/>
  <c r="BB20" i="39"/>
  <c r="BB19" i="39"/>
  <c r="BB18" i="39"/>
  <c r="AW18" i="39" s="1"/>
  <c r="BB17" i="39"/>
  <c r="AW17" i="39" s="1"/>
  <c r="BB16" i="39"/>
  <c r="AJ16" i="39" s="1"/>
  <c r="P14" i="50"/>
  <c r="O14" i="50"/>
  <c r="N14" i="50"/>
  <c r="Q14" i="50" s="1"/>
  <c r="P13" i="50"/>
  <c r="O13" i="50"/>
  <c r="N13" i="50"/>
  <c r="Q13" i="50" s="1"/>
  <c r="P12" i="50"/>
  <c r="Q12" i="50" s="1"/>
  <c r="O12" i="50"/>
  <c r="N12" i="50"/>
  <c r="P11" i="50"/>
  <c r="O11" i="50"/>
  <c r="N11" i="50"/>
  <c r="Q11" i="50" s="1"/>
  <c r="P10" i="50"/>
  <c r="Q10" i="50" s="1"/>
  <c r="O10" i="50"/>
  <c r="N10" i="50"/>
  <c r="P9" i="50"/>
  <c r="O9" i="50"/>
  <c r="N9" i="50"/>
  <c r="Q9" i="50" s="1"/>
  <c r="P8" i="50"/>
  <c r="Q8" i="50" s="1"/>
  <c r="O8" i="50"/>
  <c r="N8" i="50"/>
  <c r="P7" i="50"/>
  <c r="O7" i="50"/>
  <c r="N7" i="50"/>
  <c r="Q7" i="50" s="1"/>
  <c r="P6" i="50"/>
  <c r="Q6" i="50" s="1"/>
  <c r="O6" i="50"/>
  <c r="N6" i="50"/>
  <c r="P5" i="50"/>
  <c r="O5" i="50"/>
  <c r="N5" i="50"/>
  <c r="Q5" i="50" s="1"/>
  <c r="Q4" i="50"/>
  <c r="P4" i="50"/>
  <c r="O4" i="50"/>
  <c r="N4" i="50"/>
  <c r="P2" i="50"/>
  <c r="O2" i="50"/>
  <c r="N2" i="50"/>
  <c r="AI156" i="7"/>
  <c r="AI155" i="7"/>
  <c r="AI154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6" i="7"/>
  <c r="C155" i="7"/>
  <c r="C154" i="7"/>
  <c r="N114" i="7"/>
  <c r="Y7" i="50" l="1"/>
  <c r="Y21" i="50"/>
  <c r="Z20" i="50"/>
  <c r="AA5" i="50"/>
  <c r="Z6" i="50"/>
  <c r="AB4" i="50"/>
  <c r="AA19" i="50"/>
  <c r="AI4" i="50"/>
  <c r="AH5" i="50"/>
  <c r="AH19" i="50"/>
  <c r="AW19" i="39"/>
  <c r="AW20" i="39"/>
  <c r="BB8" i="39"/>
  <c r="BB1" i="39"/>
  <c r="AW21" i="39"/>
  <c r="BB2" i="39"/>
  <c r="AW22" i="39"/>
  <c r="AG16" i="39"/>
  <c r="AW23" i="39"/>
  <c r="AH16" i="39"/>
  <c r="AW16" i="39"/>
  <c r="BB10" i="39"/>
  <c r="BB27" i="39" s="1"/>
  <c r="AI16" i="39"/>
  <c r="AW25" i="39"/>
  <c r="BB7" i="39"/>
  <c r="AB19" i="50" l="1"/>
  <c r="AC4" i="50"/>
  <c r="AC19" i="50" s="1"/>
  <c r="Z7" i="50"/>
  <c r="Z21" i="50"/>
  <c r="AB5" i="50"/>
  <c r="AA20" i="50"/>
  <c r="AA6" i="50"/>
  <c r="Y8" i="50"/>
  <c r="Y22" i="50"/>
  <c r="AH20" i="50"/>
  <c r="AI5" i="50"/>
  <c r="AI20" i="50" s="1"/>
  <c r="AI19" i="50"/>
  <c r="AW27" i="39"/>
  <c r="BB28" i="39"/>
  <c r="AA21" i="50" l="1"/>
  <c r="AA7" i="50"/>
  <c r="Z8" i="50"/>
  <c r="Z22" i="50"/>
  <c r="Y9" i="50"/>
  <c r="Y23" i="50"/>
  <c r="AC5" i="50"/>
  <c r="AB20" i="50"/>
  <c r="AB6" i="50"/>
  <c r="BB29" i="39"/>
  <c r="AW28" i="39"/>
  <c r="AC20" i="50" l="1"/>
  <c r="AC6" i="50"/>
  <c r="Z23" i="50"/>
  <c r="Z9" i="50"/>
  <c r="AB7" i="50"/>
  <c r="AB21" i="50"/>
  <c r="Y10" i="50"/>
  <c r="Y24" i="50"/>
  <c r="AA8" i="50"/>
  <c r="AA22" i="50"/>
  <c r="BB30" i="39"/>
  <c r="AW29" i="39"/>
  <c r="AB8" i="50" l="1"/>
  <c r="AB22" i="50"/>
  <c r="Y11" i="50"/>
  <c r="Y25" i="50"/>
  <c r="Z10" i="50"/>
  <c r="Z24" i="50"/>
  <c r="AC7" i="50"/>
  <c r="AC21" i="50"/>
  <c r="AA9" i="50"/>
  <c r="AA23" i="50"/>
  <c r="BB31" i="39"/>
  <c r="BB3" i="39" s="1"/>
  <c r="AW30" i="39"/>
  <c r="AC22" i="50" l="1"/>
  <c r="AC8" i="50"/>
  <c r="Y12" i="50"/>
  <c r="Y26" i="50"/>
  <c r="Z11" i="50"/>
  <c r="Z25" i="50"/>
  <c r="AA10" i="50"/>
  <c r="AA24" i="50"/>
  <c r="AB9" i="50"/>
  <c r="AB23" i="50"/>
  <c r="BB32" i="39"/>
  <c r="AW31" i="39"/>
  <c r="AA25" i="50" l="1"/>
  <c r="AA11" i="50"/>
  <c r="Z12" i="50"/>
  <c r="Z26" i="50"/>
  <c r="Y13" i="50"/>
  <c r="Y27" i="50"/>
  <c r="AC23" i="50"/>
  <c r="AC9" i="50"/>
  <c r="AB10" i="50"/>
  <c r="AB24" i="50"/>
  <c r="BB33" i="39"/>
  <c r="AW32" i="39"/>
  <c r="AC10" i="50" l="1"/>
  <c r="AC24" i="50"/>
  <c r="Z13" i="50"/>
  <c r="Z27" i="50"/>
  <c r="AB11" i="50"/>
  <c r="AB25" i="50"/>
  <c r="Y28" i="50"/>
  <c r="Y14" i="50"/>
  <c r="AA12" i="50"/>
  <c r="AA26" i="50"/>
  <c r="BB34" i="39"/>
  <c r="AW33" i="39"/>
  <c r="AC11" i="50" l="1"/>
  <c r="AC25" i="50"/>
  <c r="AB12" i="50"/>
  <c r="AB26" i="50"/>
  <c r="AA27" i="50"/>
  <c r="AA13" i="50"/>
  <c r="Y16" i="50"/>
  <c r="Y29" i="50"/>
  <c r="Z14" i="50"/>
  <c r="Z28" i="50"/>
  <c r="BB35" i="39"/>
  <c r="AW34" i="39"/>
  <c r="AA14" i="50" l="1"/>
  <c r="AA28" i="50"/>
  <c r="AB13" i="50"/>
  <c r="AB27" i="50"/>
  <c r="Z16" i="50"/>
  <c r="Z29" i="50"/>
  <c r="AC12" i="50"/>
  <c r="AC26" i="50"/>
  <c r="BB36" i="39"/>
  <c r="AW35" i="39"/>
  <c r="AC13" i="50" l="1"/>
  <c r="AC27" i="50"/>
  <c r="AB14" i="50"/>
  <c r="AB28" i="50"/>
  <c r="AA16" i="50"/>
  <c r="AA29" i="50"/>
  <c r="BB37" i="39"/>
  <c r="AW36" i="39"/>
  <c r="AB16" i="50" l="1"/>
  <c r="AB29" i="50"/>
  <c r="AC14" i="50"/>
  <c r="AC28" i="50"/>
  <c r="BB38" i="39"/>
  <c r="AW37" i="39"/>
  <c r="AC16" i="50" l="1"/>
  <c r="AC29" i="50"/>
  <c r="BB39" i="39"/>
  <c r="AW38" i="39"/>
  <c r="BB40" i="39" l="1"/>
  <c r="AW39" i="39"/>
  <c r="BB41" i="39" l="1"/>
  <c r="AW40" i="39"/>
  <c r="BB42" i="39" l="1"/>
  <c r="AW41" i="39"/>
  <c r="BB43" i="39" l="1"/>
  <c r="AW42" i="39"/>
  <c r="BB44" i="39" l="1"/>
  <c r="AW43" i="39"/>
  <c r="BB45" i="39" l="1"/>
  <c r="AW44" i="39"/>
  <c r="BB46" i="39" l="1"/>
  <c r="AW45" i="39"/>
  <c r="AW46" i="39" l="1"/>
  <c r="BB4" i="39"/>
  <c r="BB5" i="39" s="1"/>
  <c r="J80" i="7" l="1"/>
  <c r="E81" i="7"/>
  <c r="E8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M63" i="43" l="1"/>
  <c r="M62" i="43"/>
  <c r="M61" i="43"/>
  <c r="M60" i="43"/>
  <c r="M59" i="43"/>
  <c r="M58" i="43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M44" i="43"/>
  <c r="M43" i="43"/>
  <c r="M42" i="43"/>
  <c r="M41" i="43"/>
  <c r="M40" i="43"/>
  <c r="M39" i="43"/>
  <c r="M38" i="43"/>
  <c r="M37" i="43"/>
  <c r="M36" i="43"/>
  <c r="M35" i="43"/>
  <c r="M34" i="43"/>
  <c r="M33" i="43"/>
  <c r="M32" i="43"/>
  <c r="M31" i="43"/>
  <c r="P53" i="43"/>
  <c r="O53" i="43"/>
  <c r="N53" i="43"/>
  <c r="Q53" i="43" s="1"/>
  <c r="P52" i="43"/>
  <c r="O52" i="43"/>
  <c r="N52" i="43"/>
  <c r="Q52" i="43" s="1"/>
  <c r="P51" i="43"/>
  <c r="O51" i="43"/>
  <c r="N51" i="43"/>
  <c r="Q51" i="43" s="1"/>
  <c r="P50" i="43"/>
  <c r="O50" i="43"/>
  <c r="N50" i="43"/>
  <c r="Q50" i="43" s="1"/>
  <c r="P49" i="43"/>
  <c r="O49" i="43"/>
  <c r="N49" i="43"/>
  <c r="Q49" i="43" s="1"/>
  <c r="P48" i="43"/>
  <c r="O48" i="43"/>
  <c r="N48" i="43"/>
  <c r="Q48" i="43" s="1"/>
  <c r="P47" i="43"/>
  <c r="O47" i="43"/>
  <c r="N47" i="43"/>
  <c r="Q47" i="43" s="1"/>
  <c r="P46" i="43"/>
  <c r="O46" i="43"/>
  <c r="N46" i="43"/>
  <c r="Q46" i="43" s="1"/>
  <c r="P45" i="43"/>
  <c r="O45" i="43"/>
  <c r="N45" i="43"/>
  <c r="Q45" i="43" s="1"/>
  <c r="P44" i="43"/>
  <c r="O44" i="43"/>
  <c r="N44" i="43"/>
  <c r="Q44" i="43" s="1"/>
  <c r="P43" i="43"/>
  <c r="O43" i="43"/>
  <c r="N43" i="43"/>
  <c r="Q43" i="43" s="1"/>
  <c r="P42" i="43"/>
  <c r="O42" i="43"/>
  <c r="N42" i="43"/>
  <c r="Q42" i="43" s="1"/>
  <c r="P41" i="43"/>
  <c r="O41" i="43"/>
  <c r="N41" i="43"/>
  <c r="Q41" i="43" s="1"/>
  <c r="P40" i="43"/>
  <c r="O40" i="43"/>
  <c r="N40" i="43"/>
  <c r="Q40" i="43" s="1"/>
  <c r="P39" i="43"/>
  <c r="O39" i="43"/>
  <c r="N39" i="43"/>
  <c r="Q39" i="43" s="1"/>
  <c r="P38" i="43"/>
  <c r="O38" i="43"/>
  <c r="N38" i="43"/>
  <c r="Q38" i="43" s="1"/>
  <c r="P37" i="43"/>
  <c r="O37" i="43"/>
  <c r="N37" i="43"/>
  <c r="Q37" i="43" s="1"/>
  <c r="P36" i="43"/>
  <c r="O36" i="43"/>
  <c r="N36" i="43"/>
  <c r="Q36" i="43" s="1"/>
  <c r="P35" i="43"/>
  <c r="O35" i="43"/>
  <c r="N35" i="43"/>
  <c r="Q35" i="43" s="1"/>
  <c r="P34" i="43"/>
  <c r="O34" i="43"/>
  <c r="N34" i="43"/>
  <c r="Q34" i="43" s="1"/>
  <c r="P33" i="43"/>
  <c r="O33" i="43"/>
  <c r="N33" i="43"/>
  <c r="Q33" i="43" s="1"/>
  <c r="Q32" i="43"/>
  <c r="P32" i="43"/>
  <c r="O32" i="43"/>
  <c r="N32" i="43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52" i="7"/>
  <c r="C151" i="7"/>
  <c r="C150" i="7"/>
  <c r="C149" i="7"/>
  <c r="C148" i="7"/>
  <c r="C147" i="7"/>
  <c r="C146" i="7"/>
  <c r="C145" i="7"/>
  <c r="C144" i="7"/>
  <c r="B152" i="7"/>
  <c r="B151" i="7"/>
  <c r="B150" i="7"/>
  <c r="B149" i="7"/>
  <c r="B148" i="7"/>
  <c r="B147" i="7"/>
  <c r="B146" i="7"/>
  <c r="B145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B141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G136" i="7"/>
  <c r="AF136" i="7"/>
  <c r="Z136" i="7"/>
  <c r="X136" i="7"/>
  <c r="W136" i="7"/>
  <c r="V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AG126" i="7"/>
  <c r="AF126" i="7"/>
  <c r="Z126" i="7"/>
  <c r="X126" i="7"/>
  <c r="W126" i="7"/>
  <c r="V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31" i="7"/>
  <c r="B130" i="7"/>
  <c r="B129" i="7"/>
  <c r="B128" i="7"/>
  <c r="B127" i="7"/>
  <c r="B126" i="7"/>
  <c r="B125" i="7"/>
  <c r="B124" i="7"/>
  <c r="G113" i="7"/>
  <c r="H113" i="7" s="1"/>
  <c r="I113" i="7" s="1"/>
  <c r="J113" i="7" s="1"/>
  <c r="K113" i="7" s="1"/>
  <c r="L113" i="7" s="1"/>
  <c r="M113" i="7" s="1"/>
  <c r="N113" i="7" s="1"/>
  <c r="O113" i="7" s="1"/>
  <c r="P113" i="7" s="1"/>
  <c r="Q113" i="7" s="1"/>
  <c r="R113" i="7" s="1"/>
  <c r="S113" i="7" s="1"/>
  <c r="T113" i="7" s="1"/>
  <c r="U113" i="7" s="1"/>
  <c r="V113" i="7" s="1"/>
  <c r="W113" i="7" s="1"/>
  <c r="X113" i="7" s="1"/>
  <c r="Y113" i="7" s="1"/>
  <c r="Z113" i="7" s="1"/>
  <c r="AA113" i="7" s="1"/>
  <c r="AB113" i="7" s="1"/>
  <c r="AC113" i="7" s="1"/>
  <c r="AD113" i="7" s="1"/>
  <c r="AE113" i="7" s="1"/>
  <c r="AF113" i="7" s="1"/>
  <c r="AG113" i="7" s="1"/>
  <c r="F113" i="7"/>
  <c r="E113" i="7"/>
  <c r="AG120" i="7"/>
  <c r="AF120" i="7"/>
  <c r="AE120" i="7"/>
  <c r="AD120" i="7"/>
  <c r="AC120" i="7"/>
  <c r="AB120" i="7"/>
  <c r="AA120" i="7"/>
  <c r="Z120" i="7"/>
  <c r="Y120" i="7"/>
  <c r="X120" i="7"/>
  <c r="AG119" i="7"/>
  <c r="AF119" i="7"/>
  <c r="AE119" i="7"/>
  <c r="AD119" i="7"/>
  <c r="AC119" i="7"/>
  <c r="AB119" i="7"/>
  <c r="AA119" i="7"/>
  <c r="Z119" i="7"/>
  <c r="Y119" i="7"/>
  <c r="X119" i="7"/>
  <c r="AG118" i="7"/>
  <c r="AF118" i="7"/>
  <c r="AE118" i="7"/>
  <c r="AD118" i="7"/>
  <c r="AC118" i="7"/>
  <c r="AB118" i="7"/>
  <c r="AA118" i="7"/>
  <c r="Z118" i="7"/>
  <c r="Y118" i="7"/>
  <c r="X118" i="7"/>
  <c r="AG117" i="7"/>
  <c r="AF117" i="7"/>
  <c r="AE117" i="7"/>
  <c r="AD117" i="7"/>
  <c r="AC117" i="7"/>
  <c r="AB117" i="7"/>
  <c r="AA117" i="7"/>
  <c r="Z117" i="7"/>
  <c r="Y117" i="7"/>
  <c r="X117" i="7"/>
  <c r="AG116" i="7"/>
  <c r="AF116" i="7"/>
  <c r="AE116" i="7"/>
  <c r="AD116" i="7"/>
  <c r="AC116" i="7"/>
  <c r="AB116" i="7"/>
  <c r="AA116" i="7"/>
  <c r="Z116" i="7"/>
  <c r="Y116" i="7"/>
  <c r="X116" i="7"/>
  <c r="AG115" i="7"/>
  <c r="AF115" i="7"/>
  <c r="AE115" i="7"/>
  <c r="AD115" i="7"/>
  <c r="AC115" i="7"/>
  <c r="AB115" i="7"/>
  <c r="AA115" i="7"/>
  <c r="Z115" i="7"/>
  <c r="Y115" i="7"/>
  <c r="X115" i="7"/>
  <c r="AG114" i="7"/>
  <c r="AF114" i="7"/>
  <c r="AE114" i="7"/>
  <c r="AD114" i="7"/>
  <c r="AC114" i="7"/>
  <c r="AB114" i="7"/>
  <c r="AA114" i="7"/>
  <c r="Z114" i="7"/>
  <c r="Y114" i="7"/>
  <c r="X114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W114" i="7"/>
  <c r="V114" i="7"/>
  <c r="U114" i="7"/>
  <c r="T114" i="7"/>
  <c r="S114" i="7"/>
  <c r="R114" i="7"/>
  <c r="Q114" i="7"/>
  <c r="P114" i="7"/>
  <c r="O114" i="7"/>
  <c r="M114" i="7"/>
  <c r="L114" i="7"/>
  <c r="K114" i="7"/>
  <c r="J114" i="7"/>
  <c r="I114" i="7"/>
  <c r="H114" i="7"/>
  <c r="G114" i="7"/>
  <c r="F114" i="7"/>
  <c r="E114" i="7"/>
  <c r="D114" i="7"/>
  <c r="C114" i="7"/>
  <c r="B120" i="7"/>
  <c r="B119" i="7"/>
  <c r="B118" i="7"/>
  <c r="B117" i="7"/>
  <c r="B116" i="7"/>
  <c r="B115" i="7"/>
  <c r="B114" i="7"/>
  <c r="P109" i="7" l="1"/>
  <c r="P108" i="7"/>
  <c r="R107" i="7"/>
  <c r="Q107" i="7"/>
  <c r="P107" i="7"/>
  <c r="O109" i="7"/>
  <c r="R109" i="7" s="1"/>
  <c r="N109" i="7"/>
  <c r="Q109" i="7" s="1"/>
  <c r="O108" i="7"/>
  <c r="R108" i="7" s="1"/>
  <c r="N108" i="7"/>
  <c r="Q108" i="7" s="1"/>
  <c r="M108" i="7"/>
  <c r="M109" i="7"/>
  <c r="L109" i="7"/>
  <c r="L108" i="7"/>
  <c r="J108" i="7"/>
  <c r="S109" i="7" l="1"/>
  <c r="S108" i="7"/>
  <c r="J28" i="43"/>
  <c r="J27" i="43"/>
  <c r="J26" i="43"/>
  <c r="H28" i="43"/>
  <c r="H27" i="43"/>
  <c r="H26" i="43"/>
  <c r="AP13" i="39"/>
  <c r="AO13" i="39"/>
  <c r="AN13" i="39"/>
  <c r="AM13" i="39"/>
  <c r="AC14" i="39" l="1"/>
  <c r="I33" i="43"/>
  <c r="H34" i="43"/>
  <c r="J109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N16" i="44"/>
  <c r="N15" i="44"/>
  <c r="N14" i="44"/>
  <c r="N13" i="44"/>
  <c r="O8" i="44"/>
  <c r="O6" i="44"/>
  <c r="AQ46" i="39"/>
  <c r="AQ45" i="39"/>
  <c r="AQ44" i="39"/>
  <c r="AQ43" i="39"/>
  <c r="AQ42" i="39"/>
  <c r="AQ41" i="39"/>
  <c r="AQ40" i="39"/>
  <c r="AQ39" i="39"/>
  <c r="AQ38" i="39"/>
  <c r="AQ37" i="39"/>
  <c r="AQ36" i="39"/>
  <c r="AQ35" i="39"/>
  <c r="AQ34" i="39"/>
  <c r="AQ33" i="39"/>
  <c r="AQ32" i="39"/>
  <c r="AQ31" i="39"/>
  <c r="AQ30" i="39"/>
  <c r="AQ29" i="39"/>
  <c r="AQ28" i="39"/>
  <c r="AQ27" i="39"/>
  <c r="AQ26" i="39"/>
  <c r="AQ25" i="39"/>
  <c r="AQ24" i="39"/>
  <c r="AQ23" i="39"/>
  <c r="AQ22" i="39"/>
  <c r="AQ21" i="39"/>
  <c r="AQ20" i="39"/>
  <c r="AQ19" i="39"/>
  <c r="AQ18" i="39"/>
  <c r="AQ17" i="39"/>
  <c r="AQ16" i="39"/>
  <c r="AQ15" i="39"/>
  <c r="AQ14" i="39"/>
  <c r="AZ13" i="39"/>
  <c r="AY13" i="39"/>
  <c r="AX13" i="39"/>
  <c r="AW13" i="39"/>
  <c r="AU13" i="39"/>
  <c r="AT13" i="39"/>
  <c r="AS13" i="39"/>
  <c r="AR13" i="39"/>
  <c r="C10" i="44"/>
  <c r="O10" i="44" s="1"/>
  <c r="C9" i="44"/>
  <c r="O9" i="44" s="1"/>
  <c r="C7" i="44"/>
  <c r="O7" i="44" s="1"/>
  <c r="C5" i="44"/>
  <c r="O5" i="44" s="1"/>
  <c r="C4" i="44"/>
  <c r="O4" i="44" s="1"/>
  <c r="C3" i="44"/>
  <c r="O3" i="44" s="1"/>
  <c r="G14" i="39"/>
  <c r="F14" i="39"/>
  <c r="E14" i="39"/>
  <c r="D14" i="39"/>
  <c r="C14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M13" i="39"/>
  <c r="L13" i="39"/>
  <c r="K13" i="39"/>
  <c r="J13" i="39"/>
  <c r="I13" i="39"/>
  <c r="E9" i="39"/>
  <c r="F9" i="39" s="1"/>
  <c r="G9" i="39" s="1"/>
  <c r="D9" i="39"/>
  <c r="AJ15" i="39" l="1"/>
  <c r="AI15" i="39"/>
  <c r="AH15" i="39"/>
  <c r="AX16" i="39"/>
  <c r="AY16" i="39" s="1"/>
  <c r="AZ16" i="39" s="1"/>
  <c r="AX15" i="39"/>
  <c r="AY15" i="39" s="1"/>
  <c r="AZ15" i="39" s="1"/>
  <c r="BZ65" i="31" l="1"/>
  <c r="BZ66" i="31" s="1"/>
  <c r="BZ67" i="31" s="1"/>
  <c r="BZ68" i="31" s="1"/>
  <c r="BZ69" i="31" s="1"/>
  <c r="BZ70" i="31" s="1"/>
  <c r="BZ71" i="31" s="1"/>
  <c r="BZ72" i="31" s="1"/>
  <c r="BZ73" i="31" s="1"/>
  <c r="BZ74" i="31" s="1"/>
  <c r="BZ75" i="31" s="1"/>
  <c r="EF12" i="31"/>
  <c r="EF11" i="31"/>
  <c r="EF10" i="31"/>
  <c r="EL21" i="31"/>
  <c r="EL20" i="31"/>
  <c r="EL19" i="31"/>
  <c r="EL18" i="31"/>
  <c r="EL17" i="31"/>
  <c r="EL16" i="31"/>
  <c r="EL15" i="31"/>
  <c r="EL14" i="31"/>
  <c r="EL13" i="31"/>
  <c r="EL12" i="31"/>
  <c r="EL11" i="31"/>
  <c r="EL10" i="31"/>
  <c r="EK10" i="31"/>
  <c r="EF9" i="31"/>
  <c r="DY8" i="31"/>
  <c r="EF8" i="31" s="1"/>
  <c r="DY21" i="31"/>
  <c r="DY20" i="31"/>
  <c r="DY19" i="31"/>
  <c r="DY18" i="31"/>
  <c r="DY17" i="31"/>
  <c r="DY16" i="31"/>
  <c r="DY15" i="31"/>
  <c r="DY14" i="31"/>
  <c r="DY13" i="31"/>
  <c r="DY12" i="31"/>
  <c r="DY11" i="31"/>
  <c r="DY10" i="31"/>
  <c r="DY9" i="31"/>
  <c r="BR48" i="31"/>
  <c r="BR33" i="31"/>
  <c r="BT31" i="31"/>
  <c r="DR25" i="31" s="1"/>
  <c r="BR25" i="31"/>
  <c r="BT23" i="31"/>
  <c r="DR17" i="31" s="1"/>
  <c r="BR17" i="31"/>
  <c r="BR65" i="31" s="1"/>
  <c r="BZ14" i="31"/>
  <c r="BZ62" i="31" s="1"/>
  <c r="BW14" i="31"/>
  <c r="EU14" i="31" s="1"/>
  <c r="BU62" i="31"/>
  <c r="BV13" i="31"/>
  <c r="BU13" i="31"/>
  <c r="BS7" i="31"/>
  <c r="BR7" i="31"/>
  <c r="BQ7" i="31"/>
  <c r="BZ9" i="31"/>
  <c r="BZ8" i="31"/>
  <c r="E70" i="42"/>
  <c r="BT37" i="31" s="1"/>
  <c r="DR31" i="31" s="1"/>
  <c r="E69" i="42"/>
  <c r="BT36" i="31" s="1"/>
  <c r="DR30" i="31" s="1"/>
  <c r="E68" i="42"/>
  <c r="BT35" i="31" s="1"/>
  <c r="DR29" i="31" s="1"/>
  <c r="E67" i="42"/>
  <c r="BT34" i="31" s="1"/>
  <c r="DR28" i="31" s="1"/>
  <c r="E66" i="42"/>
  <c r="BT33" i="31" s="1"/>
  <c r="DR27" i="31" s="1"/>
  <c r="E65" i="42"/>
  <c r="BT32" i="31" s="1"/>
  <c r="DR26" i="31" s="1"/>
  <c r="E64" i="42"/>
  <c r="E63" i="42"/>
  <c r="BT30" i="31" s="1"/>
  <c r="DR24" i="31" s="1"/>
  <c r="E62" i="42"/>
  <c r="BT29" i="31" s="1"/>
  <c r="DR23" i="31" s="1"/>
  <c r="E61" i="42"/>
  <c r="BT28" i="31" s="1"/>
  <c r="DR22" i="31" s="1"/>
  <c r="E60" i="42"/>
  <c r="BT27" i="31" s="1"/>
  <c r="DR21" i="31" s="1"/>
  <c r="E59" i="42"/>
  <c r="BT26" i="31" s="1"/>
  <c r="DR20" i="31" s="1"/>
  <c r="E58" i="42"/>
  <c r="BT25" i="31" s="1"/>
  <c r="DR19" i="31" s="1"/>
  <c r="E57" i="42"/>
  <c r="BT24" i="31" s="1"/>
  <c r="DR18" i="31" s="1"/>
  <c r="E56" i="42"/>
  <c r="E55" i="42"/>
  <c r="BT22" i="31" s="1"/>
  <c r="DR16" i="31" s="1"/>
  <c r="E54" i="42"/>
  <c r="BT21" i="31" s="1"/>
  <c r="DR15" i="31" s="1"/>
  <c r="E53" i="42"/>
  <c r="BT20" i="31" s="1"/>
  <c r="DR14" i="31" s="1"/>
  <c r="E52" i="42"/>
  <c r="BT19" i="31" s="1"/>
  <c r="DR13" i="31" s="1"/>
  <c r="E51" i="42"/>
  <c r="BT18" i="31" s="1"/>
  <c r="E50" i="42"/>
  <c r="BT17" i="31" s="1"/>
  <c r="BT65" i="31" s="1"/>
  <c r="BT66" i="31" s="1"/>
  <c r="BT67" i="31" s="1"/>
  <c r="BT68" i="31" s="1"/>
  <c r="E49" i="42"/>
  <c r="BT16" i="31" s="1"/>
  <c r="DR10" i="31" s="1"/>
  <c r="D70" i="42"/>
  <c r="BS37" i="31" s="1"/>
  <c r="D69" i="42"/>
  <c r="BS36" i="31" s="1"/>
  <c r="D68" i="42"/>
  <c r="BS35" i="31" s="1"/>
  <c r="D67" i="42"/>
  <c r="BS34" i="31" s="1"/>
  <c r="D66" i="42"/>
  <c r="BS33" i="31" s="1"/>
  <c r="D65" i="42"/>
  <c r="BS32" i="31" s="1"/>
  <c r="D64" i="42"/>
  <c r="BS31" i="31" s="1"/>
  <c r="D63" i="42"/>
  <c r="BS30" i="31" s="1"/>
  <c r="D62" i="42"/>
  <c r="BS29" i="31" s="1"/>
  <c r="D61" i="42"/>
  <c r="BS28" i="31" s="1"/>
  <c r="BS10" i="31" s="1"/>
  <c r="D60" i="42"/>
  <c r="BS27" i="31" s="1"/>
  <c r="BS9" i="31" s="1"/>
  <c r="D59" i="42"/>
  <c r="BS26" i="31" s="1"/>
  <c r="D58" i="42"/>
  <c r="BS25" i="31" s="1"/>
  <c r="D57" i="42"/>
  <c r="BS24" i="31" s="1"/>
  <c r="D56" i="42"/>
  <c r="BS23" i="31" s="1"/>
  <c r="D55" i="42"/>
  <c r="BS22" i="31" s="1"/>
  <c r="D54" i="42"/>
  <c r="BS21" i="31" s="1"/>
  <c r="D53" i="42"/>
  <c r="BS20" i="31" s="1"/>
  <c r="D52" i="42"/>
  <c r="BS19" i="31" s="1"/>
  <c r="D51" i="42"/>
  <c r="BS18" i="31" s="1"/>
  <c r="D50" i="42"/>
  <c r="BS17" i="31" s="1"/>
  <c r="BS65" i="31" s="1"/>
  <c r="BS66" i="31" s="1"/>
  <c r="D49" i="42"/>
  <c r="BS16" i="31" s="1"/>
  <c r="C80" i="42"/>
  <c r="BR47" i="31" s="1"/>
  <c r="C79" i="42"/>
  <c r="BR46" i="31" s="1"/>
  <c r="C78" i="42"/>
  <c r="BR45" i="31" s="1"/>
  <c r="C77" i="42"/>
  <c r="BR44" i="31" s="1"/>
  <c r="C76" i="42"/>
  <c r="BR43" i="31" s="1"/>
  <c r="C75" i="42"/>
  <c r="BR42" i="31" s="1"/>
  <c r="C74" i="42"/>
  <c r="BR41" i="31" s="1"/>
  <c r="C73" i="42"/>
  <c r="BR40" i="31" s="1"/>
  <c r="C72" i="42"/>
  <c r="BR39" i="31" s="1"/>
  <c r="C71" i="42"/>
  <c r="BR38" i="31" s="1"/>
  <c r="C70" i="42"/>
  <c r="BR37" i="31" s="1"/>
  <c r="C69" i="42"/>
  <c r="BR36" i="31" s="1"/>
  <c r="C68" i="42"/>
  <c r="BR35" i="31" s="1"/>
  <c r="C67" i="42"/>
  <c r="BR34" i="31" s="1"/>
  <c r="C66" i="42"/>
  <c r="C65" i="42"/>
  <c r="BR32" i="31" s="1"/>
  <c r="C64" i="42"/>
  <c r="BR31" i="31" s="1"/>
  <c r="C63" i="42"/>
  <c r="BR30" i="31" s="1"/>
  <c r="C62" i="42"/>
  <c r="BR29" i="31" s="1"/>
  <c r="C61" i="42"/>
  <c r="BR28" i="31" s="1"/>
  <c r="C60" i="42"/>
  <c r="BR27" i="31" s="1"/>
  <c r="C59" i="42"/>
  <c r="BR26" i="31" s="1"/>
  <c r="C58" i="42"/>
  <c r="C57" i="42"/>
  <c r="BR24" i="31" s="1"/>
  <c r="C56" i="42"/>
  <c r="BR23" i="31" s="1"/>
  <c r="C55" i="42"/>
  <c r="BR22" i="31" s="1"/>
  <c r="C54" i="42"/>
  <c r="BR21" i="31" s="1"/>
  <c r="C53" i="42"/>
  <c r="BR20" i="31" s="1"/>
  <c r="C52" i="42"/>
  <c r="BR19" i="31" s="1"/>
  <c r="C51" i="42"/>
  <c r="BR18" i="31" s="1"/>
  <c r="C50" i="42"/>
  <c r="C49" i="42"/>
  <c r="BR16" i="31" s="1"/>
  <c r="J63" i="43"/>
  <c r="J62" i="43"/>
  <c r="J61" i="43"/>
  <c r="J60" i="43"/>
  <c r="J59" i="43"/>
  <c r="J58" i="43"/>
  <c r="J57" i="43"/>
  <c r="J56" i="43"/>
  <c r="J55" i="43"/>
  <c r="J54" i="43"/>
  <c r="J53" i="43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I63" i="43"/>
  <c r="I62" i="43"/>
  <c r="I61" i="43"/>
  <c r="I60" i="43"/>
  <c r="I59" i="43"/>
  <c r="I58" i="43"/>
  <c r="I57" i="43"/>
  <c r="I56" i="43"/>
  <c r="I55" i="43"/>
  <c r="I54" i="43"/>
  <c r="H55" i="43"/>
  <c r="H56" i="43" s="1"/>
  <c r="H57" i="43" s="1"/>
  <c r="H58" i="43" s="1"/>
  <c r="H59" i="43" s="1"/>
  <c r="H60" i="43" s="1"/>
  <c r="H61" i="43" s="1"/>
  <c r="H62" i="43" s="1"/>
  <c r="H63" i="43" s="1"/>
  <c r="H54" i="43"/>
  <c r="H30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2" i="43"/>
  <c r="F56" i="43"/>
  <c r="F57" i="43" s="1"/>
  <c r="F58" i="43" s="1"/>
  <c r="F59" i="43" s="1"/>
  <c r="F60" i="43" s="1"/>
  <c r="F61" i="43" s="1"/>
  <c r="F62" i="43" s="1"/>
  <c r="F63" i="43" s="1"/>
  <c r="F55" i="43"/>
  <c r="F54" i="43"/>
  <c r="F30" i="43"/>
  <c r="C54" i="43"/>
  <c r="C55" i="43" s="1"/>
  <c r="C56" i="43" s="1"/>
  <c r="C57" i="43" s="1"/>
  <c r="C58" i="43" s="1"/>
  <c r="C59" i="43" s="1"/>
  <c r="C60" i="43" s="1"/>
  <c r="C61" i="43" s="1"/>
  <c r="C62" i="43" s="1"/>
  <c r="C63" i="43" s="1"/>
  <c r="C30" i="43"/>
  <c r="B62" i="43"/>
  <c r="B63" i="43" s="1"/>
  <c r="B55" i="43"/>
  <c r="B56" i="43" s="1"/>
  <c r="B57" i="43" s="1"/>
  <c r="B58" i="43" s="1"/>
  <c r="B59" i="43" s="1"/>
  <c r="B60" i="43" s="1"/>
  <c r="B61" i="43" s="1"/>
  <c r="B54" i="43"/>
  <c r="H53" i="43"/>
  <c r="F53" i="43"/>
  <c r="E53" i="43"/>
  <c r="D53" i="43"/>
  <c r="C53" i="43"/>
  <c r="B53" i="43"/>
  <c r="H52" i="43"/>
  <c r="F52" i="43"/>
  <c r="E52" i="43"/>
  <c r="D52" i="43"/>
  <c r="C52" i="43"/>
  <c r="B52" i="43"/>
  <c r="H51" i="43"/>
  <c r="F51" i="43"/>
  <c r="E51" i="43"/>
  <c r="D51" i="43"/>
  <c r="C51" i="43"/>
  <c r="B51" i="43"/>
  <c r="H50" i="43"/>
  <c r="F50" i="43"/>
  <c r="E50" i="43"/>
  <c r="D50" i="43"/>
  <c r="C50" i="43"/>
  <c r="B50" i="43"/>
  <c r="H49" i="43"/>
  <c r="F49" i="43"/>
  <c r="E49" i="43"/>
  <c r="D49" i="43"/>
  <c r="C49" i="43"/>
  <c r="B49" i="43"/>
  <c r="H48" i="43"/>
  <c r="F48" i="43"/>
  <c r="E48" i="43"/>
  <c r="D48" i="43"/>
  <c r="C48" i="43"/>
  <c r="B48" i="43"/>
  <c r="H47" i="43"/>
  <c r="F47" i="43"/>
  <c r="E47" i="43"/>
  <c r="D47" i="43"/>
  <c r="C47" i="43"/>
  <c r="B47" i="43"/>
  <c r="H46" i="43"/>
  <c r="F46" i="43"/>
  <c r="E46" i="43"/>
  <c r="D46" i="43"/>
  <c r="C46" i="43"/>
  <c r="B46" i="43"/>
  <c r="H45" i="43"/>
  <c r="F45" i="43"/>
  <c r="E45" i="43"/>
  <c r="D45" i="43"/>
  <c r="C45" i="43"/>
  <c r="B45" i="43"/>
  <c r="H44" i="43"/>
  <c r="F44" i="43"/>
  <c r="E44" i="43"/>
  <c r="D44" i="43"/>
  <c r="C44" i="43"/>
  <c r="B44" i="43"/>
  <c r="H43" i="43"/>
  <c r="F43" i="43"/>
  <c r="E43" i="43"/>
  <c r="D43" i="43"/>
  <c r="C43" i="43"/>
  <c r="B43" i="43"/>
  <c r="H42" i="43"/>
  <c r="F42" i="43"/>
  <c r="E42" i="43"/>
  <c r="D42" i="43"/>
  <c r="C42" i="43"/>
  <c r="B42" i="43"/>
  <c r="H41" i="43"/>
  <c r="F41" i="43"/>
  <c r="E41" i="43"/>
  <c r="D41" i="43"/>
  <c r="C41" i="43"/>
  <c r="B41" i="43"/>
  <c r="H40" i="43"/>
  <c r="F40" i="43"/>
  <c r="E40" i="43"/>
  <c r="D40" i="43"/>
  <c r="C40" i="43"/>
  <c r="B40" i="43"/>
  <c r="H39" i="43"/>
  <c r="F39" i="43"/>
  <c r="E39" i="43"/>
  <c r="D39" i="43"/>
  <c r="C39" i="43"/>
  <c r="B39" i="43"/>
  <c r="H38" i="43"/>
  <c r="F38" i="43"/>
  <c r="E38" i="43"/>
  <c r="D38" i="43"/>
  <c r="C38" i="43"/>
  <c r="B38" i="43"/>
  <c r="H37" i="43"/>
  <c r="F37" i="43"/>
  <c r="E37" i="43"/>
  <c r="D37" i="43"/>
  <c r="C37" i="43"/>
  <c r="B37" i="43"/>
  <c r="H36" i="43"/>
  <c r="F36" i="43"/>
  <c r="E36" i="43"/>
  <c r="D36" i="43"/>
  <c r="C36" i="43"/>
  <c r="B36" i="43"/>
  <c r="H35" i="43"/>
  <c r="F35" i="43"/>
  <c r="E35" i="43"/>
  <c r="D35" i="43"/>
  <c r="C35" i="43"/>
  <c r="B35" i="43"/>
  <c r="F34" i="43"/>
  <c r="E34" i="43"/>
  <c r="D34" i="43"/>
  <c r="C34" i="43"/>
  <c r="B34" i="43"/>
  <c r="H33" i="43"/>
  <c r="F33" i="43"/>
  <c r="E33" i="43"/>
  <c r="D33" i="43"/>
  <c r="C33" i="43"/>
  <c r="B33" i="43"/>
  <c r="H32" i="43"/>
  <c r="H31" i="43"/>
  <c r="F31" i="43"/>
  <c r="F32" i="43"/>
  <c r="E32" i="43"/>
  <c r="D32" i="43"/>
  <c r="C32" i="43"/>
  <c r="B32" i="43"/>
  <c r="BR11" i="31" l="1"/>
  <c r="BR10" i="31"/>
  <c r="BT69" i="31"/>
  <c r="BT70" i="31" s="1"/>
  <c r="BT71" i="31" s="1"/>
  <c r="BT72" i="31" s="1"/>
  <c r="BT73" i="31" s="1"/>
  <c r="BT74" i="31" s="1"/>
  <c r="BT75" i="31" s="1"/>
  <c r="BT76" i="31" s="1"/>
  <c r="BT77" i="31" s="1"/>
  <c r="BT78" i="31" s="1"/>
  <c r="BT79" i="31" s="1"/>
  <c r="BT80" i="31" s="1"/>
  <c r="BT81" i="31" s="1"/>
  <c r="BT82" i="31" s="1"/>
  <c r="BT83" i="31" s="1"/>
  <c r="BT84" i="31" s="1"/>
  <c r="BT85" i="31" s="1"/>
  <c r="BS67" i="31"/>
  <c r="BS68" i="31" s="1"/>
  <c r="BS69" i="31" s="1"/>
  <c r="BS70" i="31" s="1"/>
  <c r="BS71" i="31" s="1"/>
  <c r="BS72" i="31" s="1"/>
  <c r="BS73" i="31" s="1"/>
  <c r="BS74" i="31" s="1"/>
  <c r="BS75" i="31" s="1"/>
  <c r="BS76" i="31" s="1"/>
  <c r="BS77" i="31" s="1"/>
  <c r="BS78" i="31" s="1"/>
  <c r="BS79" i="31" s="1"/>
  <c r="BS80" i="31" s="1"/>
  <c r="BS81" i="31" s="1"/>
  <c r="BS82" i="31" s="1"/>
  <c r="BS83" i="31" s="1"/>
  <c r="BS84" i="31" s="1"/>
  <c r="BS85" i="31" s="1"/>
  <c r="BR12" i="31"/>
  <c r="BR9" i="31"/>
  <c r="BR66" i="31"/>
  <c r="BR67" i="31" s="1"/>
  <c r="BR68" i="31" s="1"/>
  <c r="BR69" i="31" s="1"/>
  <c r="BR70" i="31" s="1"/>
  <c r="BR71" i="31" s="1"/>
  <c r="BR72" i="31" s="1"/>
  <c r="BR73" i="31" s="1"/>
  <c r="BR74" i="31" s="1"/>
  <c r="BR75" i="31" s="1"/>
  <c r="BR76" i="31" s="1"/>
  <c r="BR77" i="31" s="1"/>
  <c r="BR78" i="31" s="1"/>
  <c r="BR79" i="31" s="1"/>
  <c r="BR80" i="31" s="1"/>
  <c r="BR81" i="31" s="1"/>
  <c r="BR82" i="31" s="1"/>
  <c r="BR83" i="31" s="1"/>
  <c r="BR84" i="31" s="1"/>
  <c r="BR85" i="31" s="1"/>
  <c r="BR86" i="31" s="1"/>
  <c r="BR87" i="31" s="1"/>
  <c r="BR88" i="31" s="1"/>
  <c r="BR89" i="31" s="1"/>
  <c r="BR90" i="31" s="1"/>
  <c r="BR91" i="31" s="1"/>
  <c r="BR92" i="31" s="1"/>
  <c r="BR93" i="31" s="1"/>
  <c r="BR94" i="31" s="1"/>
  <c r="BR95" i="31" s="1"/>
  <c r="CH37" i="31" s="1"/>
  <c r="BT9" i="31"/>
  <c r="BT10" i="31"/>
  <c r="DR11" i="31"/>
  <c r="DR12" i="31"/>
  <c r="BR8" i="31"/>
  <c r="BR5" i="31" s="1"/>
  <c r="BW62" i="31"/>
  <c r="EF13" i="31"/>
  <c r="BS8" i="31"/>
  <c r="BS5" i="31" s="1"/>
  <c r="BT8" i="31"/>
  <c r="BZ4" i="31"/>
  <c r="BT5" i="31" l="1"/>
  <c r="BR4" i="31"/>
  <c r="EF14" i="31"/>
  <c r="BT4" i="31"/>
  <c r="BS4" i="31"/>
  <c r="EF15" i="31" l="1"/>
  <c r="EF16" i="31" l="1"/>
  <c r="EF17" i="31" l="1"/>
  <c r="EF18" i="31" l="1"/>
  <c r="EF19" i="31" l="1"/>
  <c r="EF20" i="31" l="1"/>
  <c r="EF21" i="31" l="1"/>
  <c r="C82" i="42" l="1"/>
  <c r="BR49" i="31" s="1"/>
  <c r="A82" i="42"/>
  <c r="E48" i="42"/>
  <c r="BT15" i="31" s="1"/>
  <c r="DR9" i="31" s="1"/>
  <c r="D48" i="42"/>
  <c r="BS15" i="31" s="1"/>
  <c r="K47" i="42"/>
  <c r="E47" i="42"/>
  <c r="G47" i="42" s="1"/>
  <c r="D47" i="42"/>
  <c r="E46" i="42"/>
  <c r="G46" i="42" s="1"/>
  <c r="D46" i="42"/>
  <c r="E45" i="42"/>
  <c r="G45" i="42" s="1"/>
  <c r="D45" i="42"/>
  <c r="E44" i="42"/>
  <c r="G44" i="42" s="1"/>
  <c r="D44" i="42"/>
  <c r="E43" i="42"/>
  <c r="G43" i="42" s="1"/>
  <c r="D43" i="42"/>
  <c r="E42" i="42"/>
  <c r="G42" i="42" s="1"/>
  <c r="D42" i="42"/>
  <c r="E41" i="42"/>
  <c r="G41" i="42" s="1"/>
  <c r="D41" i="42"/>
  <c r="E40" i="42"/>
  <c r="G40" i="42" s="1"/>
  <c r="D40" i="42"/>
  <c r="E39" i="42"/>
  <c r="G39" i="42" s="1"/>
  <c r="D39" i="42"/>
  <c r="E38" i="42"/>
  <c r="G38" i="42" s="1"/>
  <c r="D38" i="42"/>
  <c r="E37" i="42"/>
  <c r="G37" i="42" s="1"/>
  <c r="D37" i="42"/>
  <c r="E36" i="42"/>
  <c r="G36" i="42" s="1"/>
  <c r="D36" i="42"/>
  <c r="E35" i="42"/>
  <c r="G35" i="42" s="1"/>
  <c r="D35" i="42"/>
  <c r="E34" i="42"/>
  <c r="G34" i="42" s="1"/>
  <c r="D34" i="42"/>
  <c r="E33" i="42"/>
  <c r="G33" i="42" s="1"/>
  <c r="D33" i="42"/>
  <c r="E32" i="42"/>
  <c r="G32" i="42" s="1"/>
  <c r="D32" i="42"/>
  <c r="E31" i="42"/>
  <c r="G31" i="42" s="1"/>
  <c r="D31" i="42"/>
  <c r="E30" i="42"/>
  <c r="G30" i="42" s="1"/>
  <c r="D30" i="42"/>
  <c r="E29" i="42"/>
  <c r="G29" i="42" s="1"/>
  <c r="D29" i="42"/>
  <c r="M13" i="42" s="1"/>
  <c r="N13" i="42" s="1"/>
  <c r="E28" i="42"/>
  <c r="G28" i="42" s="1"/>
  <c r="D28" i="42"/>
  <c r="E27" i="42"/>
  <c r="G27" i="42" s="1"/>
  <c r="D27" i="42"/>
  <c r="E26" i="42"/>
  <c r="G26" i="42" s="1"/>
  <c r="D26" i="42"/>
  <c r="E25" i="42"/>
  <c r="G25" i="42" s="1"/>
  <c r="D25" i="42"/>
  <c r="E24" i="42"/>
  <c r="G24" i="42" s="1"/>
  <c r="D24" i="42"/>
  <c r="E23" i="42"/>
  <c r="G23" i="42" s="1"/>
  <c r="D23" i="42"/>
  <c r="E22" i="42"/>
  <c r="G22" i="42" s="1"/>
  <c r="D22" i="42"/>
  <c r="E21" i="42"/>
  <c r="G21" i="42" s="1"/>
  <c r="D21" i="42"/>
  <c r="E20" i="42"/>
  <c r="G20" i="42" s="1"/>
  <c r="D20" i="42"/>
  <c r="M12" i="42"/>
  <c r="M11" i="42"/>
  <c r="N8" i="42"/>
  <c r="N7" i="42"/>
  <c r="N6" i="42"/>
  <c r="N5" i="42"/>
  <c r="N2" i="42"/>
  <c r="M2" i="42"/>
  <c r="N1" i="42"/>
  <c r="M1" i="42"/>
  <c r="G7" i="42"/>
  <c r="F7" i="42"/>
  <c r="F5" i="42"/>
  <c r="D4" i="42"/>
  <c r="C4" i="42"/>
  <c r="D30" i="43"/>
  <c r="C3" i="42"/>
  <c r="E1" i="42"/>
  <c r="BT7" i="31" s="1"/>
  <c r="G12" i="39"/>
  <c r="F12" i="39"/>
  <c r="E12" i="39"/>
  <c r="D12" i="39"/>
  <c r="C12" i="39"/>
  <c r="G11" i="39"/>
  <c r="F11" i="39"/>
  <c r="E11" i="39"/>
  <c r="D11" i="39"/>
  <c r="C11" i="39"/>
  <c r="G10" i="39"/>
  <c r="F10" i="39"/>
  <c r="E10" i="39"/>
  <c r="D10" i="39"/>
  <c r="C10" i="39"/>
  <c r="B12" i="39"/>
  <c r="B11" i="39"/>
  <c r="B10" i="39"/>
  <c r="N12" i="39"/>
  <c r="N10" i="39"/>
  <c r="N11" i="39"/>
  <c r="P14" i="39"/>
  <c r="DO57" i="31"/>
  <c r="EG2" i="31"/>
  <c r="EK21" i="31"/>
  <c r="EJ21" i="31"/>
  <c r="EI21" i="31"/>
  <c r="EH21" i="31"/>
  <c r="EK20" i="31"/>
  <c r="EJ20" i="31"/>
  <c r="EI20" i="31"/>
  <c r="EH20" i="31"/>
  <c r="EK19" i="31"/>
  <c r="EJ19" i="31"/>
  <c r="EI19" i="31"/>
  <c r="EH19" i="31"/>
  <c r="EK18" i="31"/>
  <c r="EJ18" i="31"/>
  <c r="EI18" i="31"/>
  <c r="EH18" i="31"/>
  <c r="EK17" i="31"/>
  <c r="EJ17" i="31"/>
  <c r="EI17" i="31"/>
  <c r="EH17" i="31"/>
  <c r="EK16" i="31"/>
  <c r="EJ16" i="31"/>
  <c r="EI16" i="31"/>
  <c r="EH16" i="31"/>
  <c r="EK15" i="31"/>
  <c r="EJ15" i="31"/>
  <c r="EI15" i="31"/>
  <c r="EH15" i="31"/>
  <c r="EK14" i="31"/>
  <c r="EJ14" i="31"/>
  <c r="EI14" i="31"/>
  <c r="EH14" i="31"/>
  <c r="EK13" i="31"/>
  <c r="EJ13" i="31"/>
  <c r="EI13" i="31"/>
  <c r="EH13" i="31"/>
  <c r="EK12" i="31"/>
  <c r="EJ12" i="31"/>
  <c r="EI12" i="31"/>
  <c r="EH12" i="31"/>
  <c r="EK11" i="31"/>
  <c r="EJ11" i="31"/>
  <c r="EI11" i="31"/>
  <c r="EH11" i="31"/>
  <c r="EJ10" i="31"/>
  <c r="EI10" i="31"/>
  <c r="EH10" i="31"/>
  <c r="EH9" i="31"/>
  <c r="EG8" i="31"/>
  <c r="AC1" i="39"/>
  <c r="AB1" i="39"/>
  <c r="AJ1" i="39"/>
  <c r="AI1" i="39"/>
  <c r="AH1" i="39"/>
  <c r="AG1" i="39"/>
  <c r="AF1" i="39"/>
  <c r="AE43" i="39"/>
  <c r="AE39" i="39"/>
  <c r="AE35" i="39"/>
  <c r="AE31" i="39"/>
  <c r="AE27" i="39"/>
  <c r="AE23" i="39"/>
  <c r="AE19" i="39"/>
  <c r="AE15" i="39"/>
  <c r="N8" i="39"/>
  <c r="N7" i="39"/>
  <c r="N4" i="39"/>
  <c r="N3" i="39"/>
  <c r="N2" i="39"/>
  <c r="C2" i="39"/>
  <c r="G7" i="39"/>
  <c r="F7" i="39"/>
  <c r="E7" i="39"/>
  <c r="D7" i="39"/>
  <c r="C7" i="39"/>
  <c r="G4" i="39"/>
  <c r="F4" i="39"/>
  <c r="E4" i="39"/>
  <c r="D4" i="39"/>
  <c r="C4" i="39"/>
  <c r="G3" i="39"/>
  <c r="F3" i="39"/>
  <c r="E3" i="39"/>
  <c r="D3" i="39"/>
  <c r="C3" i="39"/>
  <c r="C8" i="39" s="1"/>
  <c r="G2" i="39"/>
  <c r="G8" i="39" s="1"/>
  <c r="F2" i="39"/>
  <c r="F8" i="39" s="1"/>
  <c r="E2" i="39"/>
  <c r="D2" i="39"/>
  <c r="G1" i="39"/>
  <c r="F1" i="39"/>
  <c r="E1" i="39"/>
  <c r="D1" i="39"/>
  <c r="C1" i="39"/>
  <c r="U14" i="39"/>
  <c r="AE14" i="39" s="1"/>
  <c r="S46" i="39"/>
  <c r="R46" i="39"/>
  <c r="Q46" i="39"/>
  <c r="P46" i="39"/>
  <c r="O46" i="39"/>
  <c r="S45" i="39"/>
  <c r="R45" i="39"/>
  <c r="Q45" i="39"/>
  <c r="P45" i="39"/>
  <c r="O45" i="39"/>
  <c r="S44" i="39"/>
  <c r="R44" i="39"/>
  <c r="Q44" i="39"/>
  <c r="P44" i="39"/>
  <c r="O44" i="39"/>
  <c r="S43" i="39"/>
  <c r="R43" i="39"/>
  <c r="Q43" i="39"/>
  <c r="P43" i="39"/>
  <c r="O43" i="39"/>
  <c r="S42" i="39"/>
  <c r="R42" i="39"/>
  <c r="Q42" i="39"/>
  <c r="P42" i="39"/>
  <c r="O42" i="39"/>
  <c r="S41" i="39"/>
  <c r="R41" i="39"/>
  <c r="Q41" i="39"/>
  <c r="P41" i="39"/>
  <c r="O41" i="39"/>
  <c r="S40" i="39"/>
  <c r="R40" i="39"/>
  <c r="Q40" i="39"/>
  <c r="P40" i="39"/>
  <c r="O40" i="39"/>
  <c r="S39" i="39"/>
  <c r="R39" i="39"/>
  <c r="Q39" i="39"/>
  <c r="P39" i="39"/>
  <c r="O39" i="39"/>
  <c r="S38" i="39"/>
  <c r="R38" i="39"/>
  <c r="Q38" i="39"/>
  <c r="P38" i="39"/>
  <c r="O38" i="39"/>
  <c r="S37" i="39"/>
  <c r="R37" i="39"/>
  <c r="Q37" i="39"/>
  <c r="P37" i="39"/>
  <c r="O37" i="39"/>
  <c r="S36" i="39"/>
  <c r="R36" i="39"/>
  <c r="Q36" i="39"/>
  <c r="P36" i="39"/>
  <c r="O36" i="39"/>
  <c r="S35" i="39"/>
  <c r="R35" i="39"/>
  <c r="Q35" i="39"/>
  <c r="P35" i="39"/>
  <c r="O35" i="39"/>
  <c r="S34" i="39"/>
  <c r="R34" i="39"/>
  <c r="Q34" i="39"/>
  <c r="P34" i="39"/>
  <c r="O34" i="39"/>
  <c r="S33" i="39"/>
  <c r="R33" i="39"/>
  <c r="Q33" i="39"/>
  <c r="P33" i="39"/>
  <c r="O33" i="39"/>
  <c r="S32" i="39"/>
  <c r="R32" i="39"/>
  <c r="Q32" i="39"/>
  <c r="P32" i="39"/>
  <c r="O32" i="39"/>
  <c r="S31" i="39"/>
  <c r="R31" i="39"/>
  <c r="Q31" i="39"/>
  <c r="P31" i="39"/>
  <c r="O31" i="39"/>
  <c r="S30" i="39"/>
  <c r="R30" i="39"/>
  <c r="Q30" i="39"/>
  <c r="P30" i="39"/>
  <c r="O30" i="39"/>
  <c r="S29" i="39"/>
  <c r="R29" i="39"/>
  <c r="Q29" i="39"/>
  <c r="P29" i="39"/>
  <c r="O29" i="39"/>
  <c r="S28" i="39"/>
  <c r="R28" i="39"/>
  <c r="Q28" i="39"/>
  <c r="P28" i="39"/>
  <c r="O28" i="39"/>
  <c r="S27" i="39"/>
  <c r="S12" i="39" s="1"/>
  <c r="R27" i="39"/>
  <c r="R12" i="39" s="1"/>
  <c r="Q27" i="39"/>
  <c r="Q12" i="39" s="1"/>
  <c r="P27" i="39"/>
  <c r="P12" i="39" s="1"/>
  <c r="O27" i="39"/>
  <c r="O12" i="39" s="1"/>
  <c r="S26" i="39"/>
  <c r="S11" i="39" s="1"/>
  <c r="R26" i="39"/>
  <c r="R11" i="39" s="1"/>
  <c r="Q26" i="39"/>
  <c r="Q11" i="39" s="1"/>
  <c r="P26" i="39"/>
  <c r="P11" i="39" s="1"/>
  <c r="O26" i="39"/>
  <c r="S25" i="39"/>
  <c r="S10" i="39" s="1"/>
  <c r="R25" i="39"/>
  <c r="R10" i="39" s="1"/>
  <c r="Q25" i="39"/>
  <c r="Q10" i="39" s="1"/>
  <c r="P25" i="39"/>
  <c r="P10" i="39" s="1"/>
  <c r="O25" i="39"/>
  <c r="O10" i="39" s="1"/>
  <c r="S24" i="39"/>
  <c r="R24" i="39"/>
  <c r="Q24" i="39"/>
  <c r="P24" i="39"/>
  <c r="O24" i="39"/>
  <c r="S23" i="39"/>
  <c r="R23" i="39"/>
  <c r="Q23" i="39"/>
  <c r="P23" i="39"/>
  <c r="O23" i="39"/>
  <c r="S22" i="39"/>
  <c r="R22" i="39"/>
  <c r="Q22" i="39"/>
  <c r="P22" i="39"/>
  <c r="O22" i="39"/>
  <c r="S21" i="39"/>
  <c r="R21" i="39"/>
  <c r="Q21" i="39"/>
  <c r="P21" i="39"/>
  <c r="O21" i="39"/>
  <c r="S20" i="39"/>
  <c r="R20" i="39"/>
  <c r="Q20" i="39"/>
  <c r="P20" i="39"/>
  <c r="O20" i="39"/>
  <c r="S19" i="39"/>
  <c r="R19" i="39"/>
  <c r="Q19" i="39"/>
  <c r="P19" i="39"/>
  <c r="O19" i="39"/>
  <c r="S18" i="39"/>
  <c r="R18" i="39"/>
  <c r="Q18" i="39"/>
  <c r="P18" i="39"/>
  <c r="O18" i="39"/>
  <c r="S17" i="39"/>
  <c r="R17" i="39"/>
  <c r="Q17" i="39"/>
  <c r="P17" i="39"/>
  <c r="O17" i="39"/>
  <c r="S16" i="39"/>
  <c r="R16" i="39"/>
  <c r="Q16" i="39"/>
  <c r="P16" i="39"/>
  <c r="O16" i="39"/>
  <c r="S15" i="39"/>
  <c r="R15" i="39"/>
  <c r="Q15" i="39"/>
  <c r="P15" i="39"/>
  <c r="O15" i="39"/>
  <c r="S14" i="39"/>
  <c r="R14" i="39"/>
  <c r="Q14" i="39"/>
  <c r="O14" i="39"/>
  <c r="N46" i="39"/>
  <c r="U46" i="39" s="1"/>
  <c r="AE46" i="39" s="1"/>
  <c r="N45" i="39"/>
  <c r="U45" i="39" s="1"/>
  <c r="AE45" i="39" s="1"/>
  <c r="N44" i="39"/>
  <c r="U44" i="39" s="1"/>
  <c r="AE44" i="39" s="1"/>
  <c r="N43" i="39"/>
  <c r="U43" i="39" s="1"/>
  <c r="N42" i="39"/>
  <c r="U42" i="39" s="1"/>
  <c r="AE42" i="39" s="1"/>
  <c r="N41" i="39"/>
  <c r="U41" i="39" s="1"/>
  <c r="AE41" i="39" s="1"/>
  <c r="N40" i="39"/>
  <c r="U40" i="39" s="1"/>
  <c r="AE40" i="39" s="1"/>
  <c r="N39" i="39"/>
  <c r="U39" i="39" s="1"/>
  <c r="N38" i="39"/>
  <c r="U38" i="39" s="1"/>
  <c r="AE38" i="39" s="1"/>
  <c r="N37" i="39"/>
  <c r="U37" i="39" s="1"/>
  <c r="AE37" i="39" s="1"/>
  <c r="N36" i="39"/>
  <c r="U36" i="39" s="1"/>
  <c r="AE36" i="39" s="1"/>
  <c r="N35" i="39"/>
  <c r="U35" i="39" s="1"/>
  <c r="N34" i="39"/>
  <c r="U34" i="39" s="1"/>
  <c r="AE34" i="39" s="1"/>
  <c r="N33" i="39"/>
  <c r="U33" i="39" s="1"/>
  <c r="AE33" i="39" s="1"/>
  <c r="N32" i="39"/>
  <c r="U32" i="39" s="1"/>
  <c r="AE32" i="39" s="1"/>
  <c r="N31" i="39"/>
  <c r="U31" i="39" s="1"/>
  <c r="N30" i="39"/>
  <c r="U30" i="39" s="1"/>
  <c r="AE30" i="39" s="1"/>
  <c r="N29" i="39"/>
  <c r="U29" i="39" s="1"/>
  <c r="AE29" i="39" s="1"/>
  <c r="N28" i="39"/>
  <c r="U28" i="39" s="1"/>
  <c r="AE28" i="39" s="1"/>
  <c r="N27" i="39"/>
  <c r="U27" i="39" s="1"/>
  <c r="N26" i="39"/>
  <c r="U26" i="39" s="1"/>
  <c r="AE26" i="39" s="1"/>
  <c r="N25" i="39"/>
  <c r="U25" i="39" s="1"/>
  <c r="AE25" i="39" s="1"/>
  <c r="N24" i="39"/>
  <c r="U24" i="39" s="1"/>
  <c r="AE24" i="39" s="1"/>
  <c r="N23" i="39"/>
  <c r="U23" i="39" s="1"/>
  <c r="N22" i="39"/>
  <c r="U22" i="39" s="1"/>
  <c r="AE22" i="39" s="1"/>
  <c r="N21" i="39"/>
  <c r="U21" i="39" s="1"/>
  <c r="AE21" i="39" s="1"/>
  <c r="N20" i="39"/>
  <c r="U20" i="39" s="1"/>
  <c r="AE20" i="39" s="1"/>
  <c r="N19" i="39"/>
  <c r="U19" i="39" s="1"/>
  <c r="N18" i="39"/>
  <c r="U18" i="39" s="1"/>
  <c r="AE18" i="39" s="1"/>
  <c r="N17" i="39"/>
  <c r="U17" i="39" s="1"/>
  <c r="AE17" i="39" s="1"/>
  <c r="N16" i="39"/>
  <c r="U16" i="39" s="1"/>
  <c r="AE16" i="39" s="1"/>
  <c r="N15" i="39"/>
  <c r="U15" i="39" s="1"/>
  <c r="N14" i="39"/>
  <c r="S13" i="39"/>
  <c r="Z13" i="39" s="1"/>
  <c r="R13" i="39"/>
  <c r="Y13" i="39" s="1"/>
  <c r="Y1" i="39" s="1"/>
  <c r="R1" i="39" s="1"/>
  <c r="Q13" i="39"/>
  <c r="X13" i="39" s="1"/>
  <c r="P13" i="39"/>
  <c r="W13" i="39" s="1"/>
  <c r="O13" i="39"/>
  <c r="V13" i="39" s="1"/>
  <c r="N13" i="39"/>
  <c r="U13" i="39" s="1"/>
  <c r="AE13" i="39" s="1"/>
  <c r="C7" i="40"/>
  <c r="B38" i="40"/>
  <c r="B39" i="40" s="1"/>
  <c r="B40" i="40" s="1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51" i="40" s="1"/>
  <c r="B52" i="40" s="1"/>
  <c r="B53" i="40" s="1"/>
  <c r="B54" i="40" s="1"/>
  <c r="B55" i="40" s="1"/>
  <c r="B56" i="40" s="1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67" i="40" s="1"/>
  <c r="B68" i="40" s="1"/>
  <c r="B69" i="40" s="1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C8" i="40"/>
  <c r="I11" i="39"/>
  <c r="J9" i="39"/>
  <c r="J11" i="39"/>
  <c r="J10" i="39"/>
  <c r="M15" i="42" l="1"/>
  <c r="N11" i="42"/>
  <c r="C83" i="42"/>
  <c r="BR50" i="31" s="1"/>
  <c r="D54" i="43"/>
  <c r="E30" i="43"/>
  <c r="E54" i="43" s="1"/>
  <c r="D5" i="42"/>
  <c r="M14" i="42"/>
  <c r="O48" i="42"/>
  <c r="O49" i="42"/>
  <c r="G48" i="42"/>
  <c r="BS2" i="31"/>
  <c r="E4" i="42"/>
  <c r="E5" i="42" s="1"/>
  <c r="J12" i="39"/>
  <c r="W15" i="39" s="1"/>
  <c r="G49" i="42"/>
  <c r="BV16" i="31" s="1"/>
  <c r="N49" i="42"/>
  <c r="N12" i="42"/>
  <c r="N15" i="42" s="1"/>
  <c r="F46" i="42"/>
  <c r="F43" i="42"/>
  <c r="F40" i="42"/>
  <c r="F28" i="42"/>
  <c r="F20" i="42"/>
  <c r="F42" i="42"/>
  <c r="F39" i="42"/>
  <c r="F27" i="42"/>
  <c r="F29" i="42"/>
  <c r="F21" i="42"/>
  <c r="F31" i="42"/>
  <c r="F23" i="42"/>
  <c r="F49" i="42"/>
  <c r="F35" i="42"/>
  <c r="F38" i="42"/>
  <c r="F26" i="42"/>
  <c r="F24" i="42"/>
  <c r="F25" i="42"/>
  <c r="F41" i="42"/>
  <c r="F30" i="42"/>
  <c r="F44" i="42"/>
  <c r="N50" i="42"/>
  <c r="Q50" i="42" s="1"/>
  <c r="F32" i="42"/>
  <c r="C84" i="42"/>
  <c r="BR51" i="31" s="1"/>
  <c r="F22" i="42"/>
  <c r="F34" i="42"/>
  <c r="F50" i="42"/>
  <c r="BU17" i="31" s="1"/>
  <c r="BU65" i="31" s="1"/>
  <c r="F47" i="42"/>
  <c r="O50" i="42"/>
  <c r="R50" i="42" s="1"/>
  <c r="G50" i="42"/>
  <c r="BV17" i="31" s="1"/>
  <c r="BV65" i="31" s="1"/>
  <c r="F33" i="42"/>
  <c r="F36" i="42"/>
  <c r="F37" i="42"/>
  <c r="F45" i="42"/>
  <c r="F48" i="42"/>
  <c r="BU15" i="31" s="1"/>
  <c r="N48" i="42"/>
  <c r="AJ13" i="39"/>
  <c r="Z1" i="39"/>
  <c r="S1" i="39" s="1"/>
  <c r="AF13" i="39"/>
  <c r="V1" i="39"/>
  <c r="O1" i="39" s="1"/>
  <c r="W1" i="39"/>
  <c r="P1" i="39" s="1"/>
  <c r="AG13" i="39"/>
  <c r="AH13" i="39"/>
  <c r="X1" i="39"/>
  <c r="Q1" i="39" s="1"/>
  <c r="D8" i="39"/>
  <c r="E8" i="39"/>
  <c r="AI13" i="39"/>
  <c r="AX48" i="31"/>
  <c r="AN48" i="31"/>
  <c r="AD48" i="31"/>
  <c r="T48" i="31"/>
  <c r="J48" i="31"/>
  <c r="DZ8" i="31"/>
  <c r="DX21" i="31"/>
  <c r="DW21" i="31"/>
  <c r="DV21" i="31"/>
  <c r="DU21" i="31"/>
  <c r="DT21" i="31"/>
  <c r="DX20" i="31"/>
  <c r="DW20" i="31"/>
  <c r="DV20" i="31"/>
  <c r="DU20" i="31"/>
  <c r="DT20" i="31"/>
  <c r="DX19" i="31"/>
  <c r="DW19" i="31"/>
  <c r="DV19" i="31"/>
  <c r="DU19" i="31"/>
  <c r="DT19" i="31"/>
  <c r="DX18" i="31"/>
  <c r="DW18" i="31"/>
  <c r="DV18" i="31"/>
  <c r="DU18" i="31"/>
  <c r="DT18" i="31"/>
  <c r="DX17" i="31"/>
  <c r="DW17" i="31"/>
  <c r="DV17" i="31"/>
  <c r="DU17" i="31"/>
  <c r="DT17" i="31"/>
  <c r="DX16" i="31"/>
  <c r="DW16" i="31"/>
  <c r="DV16" i="31"/>
  <c r="DU16" i="31"/>
  <c r="DT16" i="31"/>
  <c r="DX15" i="31"/>
  <c r="DW15" i="31"/>
  <c r="DV15" i="31"/>
  <c r="DU15" i="31"/>
  <c r="DT15" i="31"/>
  <c r="DX14" i="31"/>
  <c r="DW14" i="31"/>
  <c r="DV14" i="31"/>
  <c r="DU14" i="31"/>
  <c r="DT14" i="31"/>
  <c r="DX13" i="31"/>
  <c r="DW13" i="31"/>
  <c r="DV13" i="31"/>
  <c r="DU13" i="31"/>
  <c r="DT13" i="31"/>
  <c r="DX12" i="31"/>
  <c r="DW12" i="31"/>
  <c r="DV12" i="31"/>
  <c r="DU12" i="31"/>
  <c r="DT12" i="31"/>
  <c r="DX11" i="31"/>
  <c r="DW11" i="31"/>
  <c r="DV11" i="31"/>
  <c r="DU11" i="31"/>
  <c r="DT11" i="31"/>
  <c r="DX10" i="31"/>
  <c r="DW10" i="31"/>
  <c r="DV10" i="31"/>
  <c r="DU10" i="31"/>
  <c r="DT10" i="31"/>
  <c r="DX9" i="31"/>
  <c r="EE9" i="31" s="1"/>
  <c r="EE10" i="31" s="1"/>
  <c r="EE11" i="31" s="1"/>
  <c r="DW9" i="31"/>
  <c r="ED9" i="31" s="1"/>
  <c r="ED10" i="31" s="1"/>
  <c r="ED11" i="31" s="1"/>
  <c r="ED12" i="31" s="1"/>
  <c r="ED13" i="31" s="1"/>
  <c r="DV9" i="31"/>
  <c r="EC9" i="31" s="1"/>
  <c r="DU9" i="31"/>
  <c r="EB9" i="31" s="1"/>
  <c r="DT9" i="31"/>
  <c r="EA9" i="31" s="1"/>
  <c r="EA10" i="31" s="1"/>
  <c r="EA11" i="31" s="1"/>
  <c r="EA12" i="31" s="1"/>
  <c r="E55" i="43" l="1"/>
  <c r="E71" i="42"/>
  <c r="BT38" i="31" s="1"/>
  <c r="H49" i="42"/>
  <c r="BW16" i="31" s="1"/>
  <c r="EU16" i="31" s="1"/>
  <c r="BU16" i="31"/>
  <c r="D55" i="43"/>
  <c r="D71" i="42"/>
  <c r="BS38" i="31" s="1"/>
  <c r="BV15" i="31"/>
  <c r="K14" i="39"/>
  <c r="X14" i="39" s="1"/>
  <c r="M46" i="39"/>
  <c r="Z46" i="39" s="1"/>
  <c r="J45" i="39"/>
  <c r="W45" i="39" s="1"/>
  <c r="L43" i="39"/>
  <c r="Y43" i="39" s="1"/>
  <c r="I42" i="39"/>
  <c r="V42" i="39" s="1"/>
  <c r="K40" i="39"/>
  <c r="X40" i="39" s="1"/>
  <c r="M38" i="39"/>
  <c r="Z38" i="39" s="1"/>
  <c r="J37" i="39"/>
  <c r="W37" i="39" s="1"/>
  <c r="L35" i="39"/>
  <c r="Y35" i="39" s="1"/>
  <c r="I34" i="39"/>
  <c r="V34" i="39" s="1"/>
  <c r="K32" i="39"/>
  <c r="X32" i="39" s="1"/>
  <c r="M30" i="39"/>
  <c r="Z30" i="39" s="1"/>
  <c r="J29" i="39"/>
  <c r="W29" i="39" s="1"/>
  <c r="L27" i="39"/>
  <c r="Y27" i="39" s="1"/>
  <c r="I26" i="39"/>
  <c r="V26" i="39" s="1"/>
  <c r="K24" i="39"/>
  <c r="X24" i="39" s="1"/>
  <c r="M22" i="39"/>
  <c r="Z22" i="39" s="1"/>
  <c r="J21" i="39"/>
  <c r="W21" i="39" s="1"/>
  <c r="L19" i="39"/>
  <c r="Y19" i="39" s="1"/>
  <c r="I18" i="39"/>
  <c r="V18" i="39" s="1"/>
  <c r="K16" i="39"/>
  <c r="X16" i="39" s="1"/>
  <c r="K43" i="39"/>
  <c r="X43" i="39" s="1"/>
  <c r="L30" i="39"/>
  <c r="Y30" i="39" s="1"/>
  <c r="J24" i="39"/>
  <c r="W24" i="39" s="1"/>
  <c r="M17" i="39"/>
  <c r="Z17" i="39" s="1"/>
  <c r="M40" i="39"/>
  <c r="Z40" i="39" s="1"/>
  <c r="I28" i="39"/>
  <c r="V28" i="39" s="1"/>
  <c r="M16" i="39"/>
  <c r="Z16" i="39" s="1"/>
  <c r="J14" i="39"/>
  <c r="W14" i="39" s="1"/>
  <c r="L46" i="39"/>
  <c r="Y46" i="39" s="1"/>
  <c r="M41" i="39"/>
  <c r="Z41" i="39" s="1"/>
  <c r="J40" i="39"/>
  <c r="W40" i="39" s="1"/>
  <c r="L38" i="39"/>
  <c r="Y38" i="39" s="1"/>
  <c r="I37" i="39"/>
  <c r="V37" i="39" s="1"/>
  <c r="K35" i="39"/>
  <c r="X35" i="39" s="1"/>
  <c r="M33" i="39"/>
  <c r="Z33" i="39" s="1"/>
  <c r="I29" i="39"/>
  <c r="V29" i="39" s="1"/>
  <c r="K27" i="39"/>
  <c r="X27" i="39" s="1"/>
  <c r="L22" i="39"/>
  <c r="Y22" i="39" s="1"/>
  <c r="K19" i="39"/>
  <c r="X19" i="39" s="1"/>
  <c r="J16" i="39"/>
  <c r="W16" i="39" s="1"/>
  <c r="L37" i="39"/>
  <c r="Y37" i="39" s="1"/>
  <c r="L29" i="39"/>
  <c r="Y29" i="39" s="1"/>
  <c r="K18" i="39"/>
  <c r="X18" i="39" s="1"/>
  <c r="I14" i="39"/>
  <c r="V14" i="39" s="1"/>
  <c r="K46" i="39"/>
  <c r="X46" i="39" s="1"/>
  <c r="M44" i="39"/>
  <c r="Z44" i="39" s="1"/>
  <c r="J43" i="39"/>
  <c r="W43" i="39" s="1"/>
  <c r="L41" i="39"/>
  <c r="Y41" i="39" s="1"/>
  <c r="I40" i="39"/>
  <c r="V40" i="39" s="1"/>
  <c r="K38" i="39"/>
  <c r="X38" i="39" s="1"/>
  <c r="M36" i="39"/>
  <c r="Z36" i="39" s="1"/>
  <c r="J35" i="39"/>
  <c r="W35" i="39" s="1"/>
  <c r="L33" i="39"/>
  <c r="Y33" i="39" s="1"/>
  <c r="I32" i="39"/>
  <c r="V32" i="39" s="1"/>
  <c r="K30" i="39"/>
  <c r="X30" i="39" s="1"/>
  <c r="M28" i="39"/>
  <c r="Z28" i="39" s="1"/>
  <c r="J27" i="39"/>
  <c r="W27" i="39" s="1"/>
  <c r="L25" i="39"/>
  <c r="Y25" i="39" s="1"/>
  <c r="I24" i="39"/>
  <c r="V24" i="39" s="1"/>
  <c r="K22" i="39"/>
  <c r="X22" i="39" s="1"/>
  <c r="M20" i="39"/>
  <c r="Z20" i="39" s="1"/>
  <c r="J19" i="39"/>
  <c r="W19" i="39" s="1"/>
  <c r="L17" i="39"/>
  <c r="Y17" i="39" s="1"/>
  <c r="I16" i="39"/>
  <c r="V16" i="39" s="1"/>
  <c r="L45" i="39"/>
  <c r="Y45" i="39" s="1"/>
  <c r="M32" i="39"/>
  <c r="Z32" i="39" s="1"/>
  <c r="I20" i="39"/>
  <c r="V20" i="39" s="1"/>
  <c r="J46" i="39"/>
  <c r="W46" i="39" s="1"/>
  <c r="L44" i="39"/>
  <c r="Y44" i="39" s="1"/>
  <c r="I43" i="39"/>
  <c r="V43" i="39" s="1"/>
  <c r="K41" i="39"/>
  <c r="X41" i="39" s="1"/>
  <c r="M39" i="39"/>
  <c r="Z39" i="39" s="1"/>
  <c r="J38" i="39"/>
  <c r="W38" i="39" s="1"/>
  <c r="L36" i="39"/>
  <c r="Y36" i="39" s="1"/>
  <c r="I35" i="39"/>
  <c r="V35" i="39" s="1"/>
  <c r="K33" i="39"/>
  <c r="X33" i="39" s="1"/>
  <c r="M31" i="39"/>
  <c r="Z31" i="39" s="1"/>
  <c r="J30" i="39"/>
  <c r="W30" i="39" s="1"/>
  <c r="L28" i="39"/>
  <c r="Y28" i="39" s="1"/>
  <c r="I27" i="39"/>
  <c r="V27" i="39" s="1"/>
  <c r="K25" i="39"/>
  <c r="X25" i="39" s="1"/>
  <c r="M23" i="39"/>
  <c r="Z23" i="39" s="1"/>
  <c r="J22" i="39"/>
  <c r="W22" i="39" s="1"/>
  <c r="L20" i="39"/>
  <c r="Y20" i="39" s="1"/>
  <c r="I19" i="39"/>
  <c r="V19" i="39" s="1"/>
  <c r="K17" i="39"/>
  <c r="X17" i="39" s="1"/>
  <c r="M15" i="39"/>
  <c r="Z15" i="39" s="1"/>
  <c r="J39" i="39"/>
  <c r="W39" i="39" s="1"/>
  <c r="J31" i="39"/>
  <c r="W31" i="39" s="1"/>
  <c r="M24" i="39"/>
  <c r="Z24" i="39" s="1"/>
  <c r="I46" i="39"/>
  <c r="V46" i="39" s="1"/>
  <c r="K44" i="39"/>
  <c r="X44" i="39" s="1"/>
  <c r="M42" i="39"/>
  <c r="Z42" i="39" s="1"/>
  <c r="J41" i="39"/>
  <c r="W41" i="39" s="1"/>
  <c r="L39" i="39"/>
  <c r="Y39" i="39" s="1"/>
  <c r="I38" i="39"/>
  <c r="V38" i="39" s="1"/>
  <c r="K36" i="39"/>
  <c r="X36" i="39" s="1"/>
  <c r="M34" i="39"/>
  <c r="Z34" i="39" s="1"/>
  <c r="J33" i="39"/>
  <c r="W33" i="39" s="1"/>
  <c r="L31" i="39"/>
  <c r="Y31" i="39" s="1"/>
  <c r="I30" i="39"/>
  <c r="V30" i="39" s="1"/>
  <c r="K28" i="39"/>
  <c r="X28" i="39" s="1"/>
  <c r="M26" i="39"/>
  <c r="Z26" i="39" s="1"/>
  <c r="J25" i="39"/>
  <c r="W25" i="39" s="1"/>
  <c r="L23" i="39"/>
  <c r="Y23" i="39" s="1"/>
  <c r="I22" i="39"/>
  <c r="V22" i="39" s="1"/>
  <c r="K20" i="39"/>
  <c r="X20" i="39" s="1"/>
  <c r="M18" i="39"/>
  <c r="Z18" i="39" s="1"/>
  <c r="J17" i="39"/>
  <c r="W17" i="39" s="1"/>
  <c r="L15" i="39"/>
  <c r="Y15" i="39" s="1"/>
  <c r="M14" i="39"/>
  <c r="Z14" i="39" s="1"/>
  <c r="I36" i="39"/>
  <c r="V36" i="39" s="1"/>
  <c r="K26" i="39"/>
  <c r="X26" i="39" s="1"/>
  <c r="M45" i="39"/>
  <c r="Z45" i="39" s="1"/>
  <c r="J44" i="39"/>
  <c r="W44" i="39" s="1"/>
  <c r="L42" i="39"/>
  <c r="Y42" i="39" s="1"/>
  <c r="I41" i="39"/>
  <c r="V41" i="39" s="1"/>
  <c r="K39" i="39"/>
  <c r="X39" i="39" s="1"/>
  <c r="M37" i="39"/>
  <c r="Z37" i="39" s="1"/>
  <c r="J36" i="39"/>
  <c r="W36" i="39" s="1"/>
  <c r="L34" i="39"/>
  <c r="Y34" i="39" s="1"/>
  <c r="I33" i="39"/>
  <c r="V33" i="39" s="1"/>
  <c r="K31" i="39"/>
  <c r="X31" i="39" s="1"/>
  <c r="M29" i="39"/>
  <c r="Z29" i="39" s="1"/>
  <c r="J28" i="39"/>
  <c r="W28" i="39" s="1"/>
  <c r="L26" i="39"/>
  <c r="Y26" i="39" s="1"/>
  <c r="I25" i="39"/>
  <c r="V25" i="39" s="1"/>
  <c r="K23" i="39"/>
  <c r="X23" i="39" s="1"/>
  <c r="M21" i="39"/>
  <c r="Z21" i="39" s="1"/>
  <c r="J20" i="39"/>
  <c r="W20" i="39" s="1"/>
  <c r="L18" i="39"/>
  <c r="Y18" i="39" s="1"/>
  <c r="I17" i="39"/>
  <c r="V17" i="39" s="1"/>
  <c r="K15" i="39"/>
  <c r="X15" i="39" s="1"/>
  <c r="K42" i="39"/>
  <c r="X42" i="39" s="1"/>
  <c r="J23" i="39"/>
  <c r="W23" i="39" s="1"/>
  <c r="L14" i="39"/>
  <c r="Y14" i="39" s="1"/>
  <c r="Y12" i="39" s="1"/>
  <c r="K45" i="39"/>
  <c r="X45" i="39" s="1"/>
  <c r="M43" i="39"/>
  <c r="Z43" i="39" s="1"/>
  <c r="J42" i="39"/>
  <c r="W42" i="39" s="1"/>
  <c r="L40" i="39"/>
  <c r="Y40" i="39" s="1"/>
  <c r="I39" i="39"/>
  <c r="V39" i="39" s="1"/>
  <c r="K37" i="39"/>
  <c r="X37" i="39" s="1"/>
  <c r="M35" i="39"/>
  <c r="Z35" i="39" s="1"/>
  <c r="J34" i="39"/>
  <c r="W34" i="39" s="1"/>
  <c r="L32" i="39"/>
  <c r="Y32" i="39" s="1"/>
  <c r="I31" i="39"/>
  <c r="V31" i="39" s="1"/>
  <c r="K29" i="39"/>
  <c r="X29" i="39" s="1"/>
  <c r="M27" i="39"/>
  <c r="Z27" i="39" s="1"/>
  <c r="J26" i="39"/>
  <c r="W26" i="39" s="1"/>
  <c r="L24" i="39"/>
  <c r="Y24" i="39" s="1"/>
  <c r="I23" i="39"/>
  <c r="V23" i="39" s="1"/>
  <c r="K21" i="39"/>
  <c r="X21" i="39" s="1"/>
  <c r="M19" i="39"/>
  <c r="Z19" i="39" s="1"/>
  <c r="J18" i="39"/>
  <c r="W18" i="39" s="1"/>
  <c r="L16" i="39"/>
  <c r="Y16" i="39" s="1"/>
  <c r="I15" i="39"/>
  <c r="V15" i="39" s="1"/>
  <c r="I45" i="39"/>
  <c r="V45" i="39" s="1"/>
  <c r="J32" i="39"/>
  <c r="W32" i="39" s="1"/>
  <c r="M25" i="39"/>
  <c r="Z25" i="39" s="1"/>
  <c r="I21" i="39"/>
  <c r="V21" i="39" s="1"/>
  <c r="I44" i="39"/>
  <c r="V44" i="39" s="1"/>
  <c r="K34" i="39"/>
  <c r="X34" i="39" s="1"/>
  <c r="L21" i="39"/>
  <c r="Y21" i="39" s="1"/>
  <c r="W12" i="39"/>
  <c r="Z12" i="39"/>
  <c r="N14" i="42"/>
  <c r="O51" i="42"/>
  <c r="G51" i="42"/>
  <c r="BV18" i="31" s="1"/>
  <c r="E2" i="42"/>
  <c r="H50" i="42"/>
  <c r="BW17" i="31" s="1"/>
  <c r="N51" i="42"/>
  <c r="F51" i="42"/>
  <c r="BU18" i="31" s="1"/>
  <c r="D2" i="42"/>
  <c r="C85" i="42"/>
  <c r="BR52" i="31" s="1"/>
  <c r="X3" i="39"/>
  <c r="Q3" i="39" s="1"/>
  <c r="Y2" i="39"/>
  <c r="EA13" i="31"/>
  <c r="EA14" i="31" s="1"/>
  <c r="EA15" i="31" s="1"/>
  <c r="EA16" i="31" s="1"/>
  <c r="EA17" i="31" s="1"/>
  <c r="EA18" i="31" s="1"/>
  <c r="EA19" i="31" s="1"/>
  <c r="EA20" i="31" s="1"/>
  <c r="EA21" i="31" s="1"/>
  <c r="ED14" i="31"/>
  <c r="ED15" i="31" s="1"/>
  <c r="ED16" i="31" s="1"/>
  <c r="ED17" i="31" s="1"/>
  <c r="ED18" i="31" s="1"/>
  <c r="ED19" i="31" s="1"/>
  <c r="ED20" i="31" s="1"/>
  <c r="ED21" i="31" s="1"/>
  <c r="EB10" i="31"/>
  <c r="EB11" i="31" s="1"/>
  <c r="EB12" i="31" s="1"/>
  <c r="EB13" i="31" s="1"/>
  <c r="EB14" i="31" s="1"/>
  <c r="EB15" i="31" s="1"/>
  <c r="EB16" i="31" s="1"/>
  <c r="EB17" i="31" s="1"/>
  <c r="EB18" i="31" s="1"/>
  <c r="EB19" i="31" s="1"/>
  <c r="EB20" i="31" s="1"/>
  <c r="EB21" i="31" s="1"/>
  <c r="EE12" i="31"/>
  <c r="EE13" i="31" s="1"/>
  <c r="EE14" i="31" s="1"/>
  <c r="EE15" i="31" s="1"/>
  <c r="EE16" i="31" s="1"/>
  <c r="EE17" i="31" s="1"/>
  <c r="EE18" i="31" s="1"/>
  <c r="EE19" i="31" s="1"/>
  <c r="EE20" i="31" s="1"/>
  <c r="EE21" i="31" s="1"/>
  <c r="EC10" i="31"/>
  <c r="EC11" i="31" s="1"/>
  <c r="EC12" i="31" s="1"/>
  <c r="EC13" i="31" s="1"/>
  <c r="EC14" i="31" s="1"/>
  <c r="EC15" i="31" s="1"/>
  <c r="EC16" i="31" s="1"/>
  <c r="EC17" i="31" s="1"/>
  <c r="EC18" i="31" s="1"/>
  <c r="EC19" i="31" s="1"/>
  <c r="EC20" i="31" s="1"/>
  <c r="EC21" i="31" s="1"/>
  <c r="BV66" i="31" l="1"/>
  <c r="BS86" i="31"/>
  <c r="D56" i="43"/>
  <c r="D72" i="42"/>
  <c r="BS39" i="31" s="1"/>
  <c r="DR32" i="31"/>
  <c r="BT86" i="31"/>
  <c r="E56" i="43"/>
  <c r="E72" i="42"/>
  <c r="BT39" i="31" s="1"/>
  <c r="DR33" i="31" s="1"/>
  <c r="EU17" i="31"/>
  <c r="BW65" i="31"/>
  <c r="BU66" i="31"/>
  <c r="Y4" i="39"/>
  <c r="R4" i="39" s="1"/>
  <c r="X4" i="39"/>
  <c r="Q4" i="39" s="1"/>
  <c r="Z7" i="39"/>
  <c r="S7" i="39" s="1"/>
  <c r="W3" i="39"/>
  <c r="P3" i="39" s="1"/>
  <c r="Z2" i="39"/>
  <c r="S2" i="39" s="1"/>
  <c r="Z3" i="39"/>
  <c r="S3" i="39" s="1"/>
  <c r="X2" i="39"/>
  <c r="Q2" i="39" s="1"/>
  <c r="X7" i="39"/>
  <c r="Q7" i="39" s="1"/>
  <c r="V3" i="39"/>
  <c r="O3" i="39" s="1"/>
  <c r="X12" i="39"/>
  <c r="W4" i="39"/>
  <c r="P4" i="39" s="1"/>
  <c r="Y3" i="39"/>
  <c r="R3" i="39" s="1"/>
  <c r="Y7" i="39"/>
  <c r="R7" i="39" s="1"/>
  <c r="V2" i="39"/>
  <c r="O2" i="39" s="1"/>
  <c r="V4" i="39"/>
  <c r="O4" i="39" s="1"/>
  <c r="Z4" i="39"/>
  <c r="S4" i="39" s="1"/>
  <c r="V7" i="39"/>
  <c r="O7" i="39" s="1"/>
  <c r="W2" i="39"/>
  <c r="P2" i="39" s="1"/>
  <c r="W7" i="39"/>
  <c r="P7" i="39" s="1"/>
  <c r="N52" i="42"/>
  <c r="F52" i="42"/>
  <c r="BU19" i="31" s="1"/>
  <c r="H51" i="42"/>
  <c r="BW18" i="31" s="1"/>
  <c r="C86" i="42"/>
  <c r="BR53" i="31" s="1"/>
  <c r="O52" i="42"/>
  <c r="G52" i="42"/>
  <c r="BV19" i="31" s="1"/>
  <c r="R2" i="39"/>
  <c r="X8" i="39"/>
  <c r="Q8" i="39" s="1"/>
  <c r="BV67" i="31" l="1"/>
  <c r="BU67" i="31"/>
  <c r="EU18" i="31"/>
  <c r="BW66" i="31"/>
  <c r="D57" i="43"/>
  <c r="D73" i="42"/>
  <c r="BS40" i="31" s="1"/>
  <c r="E57" i="43"/>
  <c r="E73" i="42"/>
  <c r="BT40" i="31" s="1"/>
  <c r="BT87" i="31"/>
  <c r="BS87" i="31"/>
  <c r="Z8" i="39"/>
  <c r="S8" i="39" s="1"/>
  <c r="W8" i="39"/>
  <c r="P8" i="39" s="1"/>
  <c r="V8" i="39"/>
  <c r="O8" i="39" s="1"/>
  <c r="Y8" i="39"/>
  <c r="R8" i="39" s="1"/>
  <c r="O53" i="42"/>
  <c r="G53" i="42"/>
  <c r="BV20" i="31" s="1"/>
  <c r="C87" i="42"/>
  <c r="BR54" i="31" s="1"/>
  <c r="N53" i="42"/>
  <c r="F53" i="42"/>
  <c r="BU20" i="31" s="1"/>
  <c r="H52" i="42"/>
  <c r="BW19" i="31" s="1"/>
  <c r="BV68" i="31" l="1"/>
  <c r="D58" i="43"/>
  <c r="D74" i="42"/>
  <c r="BS41" i="31" s="1"/>
  <c r="BS88" i="31"/>
  <c r="BS89" i="31" s="1"/>
  <c r="BT88" i="31"/>
  <c r="EU19" i="31"/>
  <c r="BW67" i="31"/>
  <c r="BU68" i="31"/>
  <c r="DR34" i="31"/>
  <c r="E58" i="43"/>
  <c r="E74" i="42"/>
  <c r="BT41" i="31" s="1"/>
  <c r="C88" i="42"/>
  <c r="BR55" i="31" s="1"/>
  <c r="N54" i="42"/>
  <c r="F54" i="42"/>
  <c r="BU21" i="31" s="1"/>
  <c r="H53" i="42"/>
  <c r="BW20" i="31" s="1"/>
  <c r="EU20" i="31" s="1"/>
  <c r="O54" i="42"/>
  <c r="G54" i="42"/>
  <c r="BV21" i="31" s="1"/>
  <c r="BV69" i="31" l="1"/>
  <c r="BT89" i="31"/>
  <c r="E59" i="43"/>
  <c r="E75" i="42"/>
  <c r="BT42" i="31" s="1"/>
  <c r="DR36" i="31" s="1"/>
  <c r="D59" i="43"/>
  <c r="D75" i="42"/>
  <c r="BS42" i="31" s="1"/>
  <c r="BS90" i="31" s="1"/>
  <c r="BU69" i="31"/>
  <c r="DR35" i="31"/>
  <c r="BW68" i="31"/>
  <c r="N55" i="42"/>
  <c r="Q55" i="42" s="1"/>
  <c r="F55" i="42"/>
  <c r="BU22" i="31" s="1"/>
  <c r="BU8" i="31" s="1"/>
  <c r="H54" i="42"/>
  <c r="BW21" i="31" s="1"/>
  <c r="EU21" i="31" s="1"/>
  <c r="C89" i="42"/>
  <c r="BR56" i="31" s="1"/>
  <c r="O55" i="42"/>
  <c r="R55" i="42" s="1"/>
  <c r="G55" i="42"/>
  <c r="BV22" i="31" s="1"/>
  <c r="BV8" i="31" s="1"/>
  <c r="BW1" i="31" l="1"/>
  <c r="BV70" i="31"/>
  <c r="BV71" i="31" s="1"/>
  <c r="D60" i="43"/>
  <c r="D76" i="42"/>
  <c r="BS43" i="31" s="1"/>
  <c r="BS91" i="31" s="1"/>
  <c r="E60" i="43"/>
  <c r="E76" i="42"/>
  <c r="BT43" i="31" s="1"/>
  <c r="DR37" i="31" s="1"/>
  <c r="BT90" i="31"/>
  <c r="BW69" i="31"/>
  <c r="BU70" i="31"/>
  <c r="BU71" i="31" s="1"/>
  <c r="AC2" i="39"/>
  <c r="G56" i="42"/>
  <c r="BV23" i="31" s="1"/>
  <c r="O56" i="42"/>
  <c r="H55" i="42"/>
  <c r="C90" i="42"/>
  <c r="BR57" i="31" s="1"/>
  <c r="F56" i="42"/>
  <c r="BU23" i="31" s="1"/>
  <c r="N56" i="42"/>
  <c r="E61" i="43" l="1"/>
  <c r="E77" i="42"/>
  <c r="BT44" i="31" s="1"/>
  <c r="DR38" i="31" s="1"/>
  <c r="BW22" i="31"/>
  <c r="BT91" i="31"/>
  <c r="D61" i="43"/>
  <c r="D77" i="42"/>
  <c r="BS44" i="31" s="1"/>
  <c r="BS92" i="31" s="1"/>
  <c r="N57" i="42"/>
  <c r="F57" i="42"/>
  <c r="BU24" i="31" s="1"/>
  <c r="H56" i="42"/>
  <c r="BW23" i="31" s="1"/>
  <c r="O57" i="42"/>
  <c r="G57" i="42"/>
  <c r="BV24" i="31" s="1"/>
  <c r="BV72" i="31" s="1"/>
  <c r="BT92" i="31" l="1"/>
  <c r="EU22" i="31"/>
  <c r="BW8" i="31"/>
  <c r="EU23" i="31"/>
  <c r="BW70" i="31"/>
  <c r="BW71" i="31" s="1"/>
  <c r="E62" i="43"/>
  <c r="E78" i="42"/>
  <c r="BT45" i="31" s="1"/>
  <c r="DR39" i="31" s="1"/>
  <c r="BU72" i="31"/>
  <c r="D62" i="43"/>
  <c r="D78" i="42"/>
  <c r="BS45" i="31" s="1"/>
  <c r="BS93" i="31" s="1"/>
  <c r="H57" i="42"/>
  <c r="BW24" i="31" s="1"/>
  <c r="EU24" i="31" s="1"/>
  <c r="F58" i="42"/>
  <c r="BU25" i="31" s="1"/>
  <c r="N58" i="42"/>
  <c r="O58" i="42"/>
  <c r="G58" i="42"/>
  <c r="BV25" i="31" s="1"/>
  <c r="BV73" i="31" s="1"/>
  <c r="BT93" i="31" l="1"/>
  <c r="BW72" i="31"/>
  <c r="D63" i="43"/>
  <c r="D80" i="42" s="1"/>
  <c r="BS47" i="31" s="1"/>
  <c r="D79" i="42"/>
  <c r="BS46" i="31" s="1"/>
  <c r="BS94" i="31" s="1"/>
  <c r="CH8" i="31"/>
  <c r="BX1" i="31"/>
  <c r="BU73" i="31"/>
  <c r="E63" i="43"/>
  <c r="E80" i="42" s="1"/>
  <c r="BT47" i="31" s="1"/>
  <c r="E79" i="42"/>
  <c r="BT46" i="31" s="1"/>
  <c r="DR40" i="31" s="1"/>
  <c r="F59" i="42"/>
  <c r="BU26" i="31" s="1"/>
  <c r="N59" i="42"/>
  <c r="H58" i="42"/>
  <c r="BW25" i="31" s="1"/>
  <c r="EU25" i="31" s="1"/>
  <c r="O59" i="42"/>
  <c r="G59" i="42"/>
  <c r="BV26" i="31" s="1"/>
  <c r="BV74" i="31" s="1"/>
  <c r="BS95" i="31" l="1"/>
  <c r="BS3" i="31"/>
  <c r="BS11" i="31"/>
  <c r="BS12" i="31"/>
  <c r="BU74" i="31"/>
  <c r="BW73" i="31"/>
  <c r="BT94" i="31"/>
  <c r="BT95" i="31" s="1"/>
  <c r="DR41" i="31"/>
  <c r="BT12" i="31"/>
  <c r="BT11" i="31"/>
  <c r="AC3" i="39"/>
  <c r="O60" i="42"/>
  <c r="R60" i="42" s="1"/>
  <c r="G60" i="42"/>
  <c r="BV27" i="31" s="1"/>
  <c r="BV75" i="31" s="1"/>
  <c r="N60" i="42"/>
  <c r="Q60" i="42" s="1"/>
  <c r="F60" i="42"/>
  <c r="BU27" i="31" s="1"/>
  <c r="BU9" i="31" s="1"/>
  <c r="H59" i="42"/>
  <c r="BW26" i="31" s="1"/>
  <c r="EU26" i="31" s="1"/>
  <c r="BV9" i="31" l="1"/>
  <c r="BU75" i="31"/>
  <c r="BW74" i="31"/>
  <c r="BU4" i="31"/>
  <c r="H60" i="42"/>
  <c r="F61" i="42"/>
  <c r="BU28" i="31" s="1"/>
  <c r="N61" i="42"/>
  <c r="O61" i="42"/>
  <c r="G61" i="42"/>
  <c r="BV28" i="31" s="1"/>
  <c r="BV76" i="31" s="1"/>
  <c r="BW2" i="31" l="1"/>
  <c r="BV4" i="31"/>
  <c r="BW27" i="31"/>
  <c r="BU76" i="31"/>
  <c r="O62" i="42"/>
  <c r="G62" i="42"/>
  <c r="BV29" i="31" s="1"/>
  <c r="F62" i="42"/>
  <c r="BU29" i="31" s="1"/>
  <c r="N62" i="42"/>
  <c r="BV77" i="31" l="1"/>
  <c r="BU77" i="31"/>
  <c r="EU27" i="31"/>
  <c r="BW9" i="31"/>
  <c r="BW75" i="31"/>
  <c r="N63" i="42"/>
  <c r="F63" i="42"/>
  <c r="BU30" i="31" s="1"/>
  <c r="O63" i="42"/>
  <c r="G63" i="42"/>
  <c r="BV30" i="31" s="1"/>
  <c r="BV78" i="31" l="1"/>
  <c r="CH9" i="31"/>
  <c r="CH13" i="31" s="1"/>
  <c r="BX2" i="31"/>
  <c r="BW4" i="31"/>
  <c r="BU78" i="31"/>
  <c r="O64" i="42"/>
  <c r="G64" i="42"/>
  <c r="BV31" i="31" s="1"/>
  <c r="N64" i="42"/>
  <c r="F64" i="42"/>
  <c r="BU31" i="31" s="1"/>
  <c r="BU79" i="31" l="1"/>
  <c r="BV79" i="31"/>
  <c r="O65" i="42"/>
  <c r="G65" i="42"/>
  <c r="BV32" i="31" s="1"/>
  <c r="BV10" i="31" s="1"/>
  <c r="N65" i="42"/>
  <c r="F65" i="42"/>
  <c r="BU32" i="31" s="1"/>
  <c r="BU10" i="31" s="1"/>
  <c r="BU5" i="31" s="1"/>
  <c r="BW3" i="31" l="1"/>
  <c r="BV5" i="31"/>
  <c r="BV80" i="31"/>
  <c r="BV81" i="31" s="1"/>
  <c r="BU80" i="31"/>
  <c r="AC4" i="39"/>
  <c r="O66" i="42"/>
  <c r="G66" i="42"/>
  <c r="BV33" i="31" s="1"/>
  <c r="N66" i="42"/>
  <c r="F66" i="42"/>
  <c r="BU33" i="31" s="1"/>
  <c r="BU81" i="31" l="1"/>
  <c r="N67" i="42"/>
  <c r="F67" i="42"/>
  <c r="BU34" i="31" s="1"/>
  <c r="G67" i="42"/>
  <c r="BV34" i="31" s="1"/>
  <c r="BV82" i="31" s="1"/>
  <c r="O67" i="42"/>
  <c r="BU82" i="31" l="1"/>
  <c r="N68" i="42"/>
  <c r="F68" i="42"/>
  <c r="BU35" i="31" s="1"/>
  <c r="G68" i="42"/>
  <c r="BV35" i="31" s="1"/>
  <c r="BV83" i="31" s="1"/>
  <c r="O68" i="42"/>
  <c r="BU83" i="31" l="1"/>
  <c r="N69" i="42"/>
  <c r="F69" i="42"/>
  <c r="BU36" i="31" s="1"/>
  <c r="O69" i="42"/>
  <c r="G69" i="42"/>
  <c r="BV36" i="31" s="1"/>
  <c r="BV84" i="31" s="1"/>
  <c r="BU84" i="31" l="1"/>
  <c r="O70" i="42"/>
  <c r="R70" i="42" s="1"/>
  <c r="G70" i="42"/>
  <c r="BV37" i="31" s="1"/>
  <c r="BV85" i="31" s="1"/>
  <c r="N70" i="42"/>
  <c r="Q70" i="42" s="1"/>
  <c r="F70" i="42"/>
  <c r="BU37" i="31" s="1"/>
  <c r="BU85" i="31" l="1"/>
  <c r="F71" i="42"/>
  <c r="BU38" i="31" s="1"/>
  <c r="N71" i="42"/>
  <c r="O71" i="42"/>
  <c r="G71" i="42"/>
  <c r="BV38" i="31" s="1"/>
  <c r="BV86" i="31" l="1"/>
  <c r="BU86" i="31"/>
  <c r="F72" i="42"/>
  <c r="BU39" i="31" s="1"/>
  <c r="N72" i="42"/>
  <c r="O72" i="42"/>
  <c r="G72" i="42"/>
  <c r="BV39" i="31" s="1"/>
  <c r="BU87" i="31" l="1"/>
  <c r="BV87" i="31"/>
  <c r="N73" i="42"/>
  <c r="F73" i="42"/>
  <c r="BU40" i="31" s="1"/>
  <c r="BU88" i="31" s="1"/>
  <c r="G73" i="42"/>
  <c r="BV40" i="31" s="1"/>
  <c r="O73" i="42"/>
  <c r="BV88" i="31" l="1"/>
  <c r="O74" i="42"/>
  <c r="G74" i="42"/>
  <c r="BV41" i="31" s="1"/>
  <c r="N74" i="42"/>
  <c r="F74" i="42"/>
  <c r="BU41" i="31" s="1"/>
  <c r="BU89" i="31" s="1"/>
  <c r="BV89" i="31" l="1"/>
  <c r="O75" i="42"/>
  <c r="G75" i="42"/>
  <c r="BV42" i="31" s="1"/>
  <c r="N75" i="42"/>
  <c r="F75" i="42"/>
  <c r="BU42" i="31" s="1"/>
  <c r="BU90" i="31" s="1"/>
  <c r="BV90" i="31" l="1"/>
  <c r="O76" i="42"/>
  <c r="G76" i="42"/>
  <c r="BV43" i="31" s="1"/>
  <c r="BV91" i="31" s="1"/>
  <c r="N76" i="42"/>
  <c r="F76" i="42"/>
  <c r="BU43" i="31" s="1"/>
  <c r="BU91" i="31" s="1"/>
  <c r="O77" i="42" l="1"/>
  <c r="G77" i="42"/>
  <c r="BV44" i="31" s="1"/>
  <c r="BV92" i="31" s="1"/>
  <c r="F77" i="42"/>
  <c r="BU44" i="31" s="1"/>
  <c r="BU92" i="31" s="1"/>
  <c r="N77" i="42"/>
  <c r="N78" i="42" l="1"/>
  <c r="F78" i="42"/>
  <c r="BU45" i="31" s="1"/>
  <c r="BU93" i="31" s="1"/>
  <c r="O78" i="42"/>
  <c r="G78" i="42"/>
  <c r="BV45" i="31" s="1"/>
  <c r="BV93" i="31" s="1"/>
  <c r="N79" i="42" l="1"/>
  <c r="F79" i="42"/>
  <c r="BU46" i="31" s="1"/>
  <c r="BU94" i="31" s="1"/>
  <c r="G79" i="42"/>
  <c r="BV46" i="31" s="1"/>
  <c r="BV94" i="31" s="1"/>
  <c r="O79" i="42"/>
  <c r="AC7" i="39" l="1"/>
  <c r="AC8" i="39" s="1"/>
  <c r="O80" i="42"/>
  <c r="R80" i="42" s="1"/>
  <c r="E81" i="42"/>
  <c r="BT48" i="31" s="1"/>
  <c r="DR42" i="31" s="1"/>
  <c r="G80" i="42"/>
  <c r="BV47" i="31" s="1"/>
  <c r="N80" i="42"/>
  <c r="Q80" i="42" s="1"/>
  <c r="F80" i="42"/>
  <c r="BU47" i="31" s="1"/>
  <c r="D81" i="42"/>
  <c r="BS48" i="31" s="1"/>
  <c r="BU12" i="31" l="1"/>
  <c r="BU11" i="31"/>
  <c r="BV11" i="31"/>
  <c r="BV12" i="31"/>
  <c r="BV95" i="31"/>
  <c r="CH39" i="31" s="1"/>
  <c r="BU95" i="31"/>
  <c r="CH38" i="31" s="1"/>
  <c r="D82" i="42"/>
  <c r="BS49" i="31" s="1"/>
  <c r="N81" i="42"/>
  <c r="F81" i="42"/>
  <c r="BU48" i="31" s="1"/>
  <c r="A83" i="42"/>
  <c r="A80" i="42" s="1"/>
  <c r="A79" i="42" s="1"/>
  <c r="U61" i="42" s="1"/>
  <c r="BZ28" i="31" s="1"/>
  <c r="G81" i="42"/>
  <c r="BV48" i="31" s="1"/>
  <c r="E82" i="42"/>
  <c r="BT49" i="31" s="1"/>
  <c r="DR43" i="31" s="1"/>
  <c r="O81" i="42"/>
  <c r="DY22" i="31" l="1"/>
  <c r="EF22" i="31" s="1"/>
  <c r="BZ76" i="31"/>
  <c r="E83" i="42"/>
  <c r="BT50" i="31" s="1"/>
  <c r="DR44" i="31" s="1"/>
  <c r="O82" i="42"/>
  <c r="N82" i="42"/>
  <c r="D83" i="42"/>
  <c r="BS50" i="31" s="1"/>
  <c r="F82" i="42"/>
  <c r="BU49" i="31" s="1"/>
  <c r="G82" i="42"/>
  <c r="BV49" i="31" s="1"/>
  <c r="H81" i="42"/>
  <c r="BW48" i="31" s="1"/>
  <c r="U62" i="42"/>
  <c r="BZ29" i="31" s="1"/>
  <c r="DY23" i="31" s="1"/>
  <c r="V61" i="42"/>
  <c r="H61" i="42"/>
  <c r="BW28" i="31" s="1"/>
  <c r="EF23" i="31" l="1"/>
  <c r="BZ77" i="31"/>
  <c r="EU28" i="31"/>
  <c r="BW76" i="31"/>
  <c r="G83" i="42"/>
  <c r="BV50" i="31" s="1"/>
  <c r="E84" i="42"/>
  <c r="BT51" i="31" s="1"/>
  <c r="DR45" i="31" s="1"/>
  <c r="O83" i="42"/>
  <c r="U63" i="42"/>
  <c r="BZ30" i="31" s="1"/>
  <c r="V62" i="42"/>
  <c r="H62" i="42"/>
  <c r="BW29" i="31" s="1"/>
  <c r="EU29" i="31" s="1"/>
  <c r="H82" i="42"/>
  <c r="BW49" i="31" s="1"/>
  <c r="D84" i="42"/>
  <c r="BS51" i="31" s="1"/>
  <c r="N83" i="42"/>
  <c r="F83" i="42"/>
  <c r="BU50" i="31" s="1"/>
  <c r="BW77" i="31" l="1"/>
  <c r="DY24" i="31"/>
  <c r="EF24" i="31" s="1"/>
  <c r="BZ78" i="31"/>
  <c r="G84" i="42"/>
  <c r="BV51" i="31" s="1"/>
  <c r="V63" i="42"/>
  <c r="U64" i="42"/>
  <c r="BZ31" i="31" s="1"/>
  <c r="DY25" i="31" s="1"/>
  <c r="H63" i="42"/>
  <c r="BW30" i="31" s="1"/>
  <c r="EU30" i="31" s="1"/>
  <c r="H83" i="42"/>
  <c r="BW50" i="31" s="1"/>
  <c r="N84" i="42"/>
  <c r="F84" i="42"/>
  <c r="BU51" i="31" s="1"/>
  <c r="D85" i="42"/>
  <c r="BS52" i="31" s="1"/>
  <c r="E85" i="42"/>
  <c r="BT52" i="31" s="1"/>
  <c r="DR46" i="31" s="1"/>
  <c r="O84" i="42"/>
  <c r="EF25" i="31" l="1"/>
  <c r="BZ79" i="31"/>
  <c r="BW78" i="31"/>
  <c r="H84" i="42"/>
  <c r="BW51" i="31" s="1"/>
  <c r="G85" i="42"/>
  <c r="BV52" i="31" s="1"/>
  <c r="O85" i="42"/>
  <c r="E86" i="42"/>
  <c r="BT53" i="31" s="1"/>
  <c r="DR47" i="31" s="1"/>
  <c r="V64" i="42"/>
  <c r="U65" i="42"/>
  <c r="BZ32" i="31" s="1"/>
  <c r="DY26" i="31" s="1"/>
  <c r="H64" i="42"/>
  <c r="BW31" i="31" s="1"/>
  <c r="EU31" i="31" s="1"/>
  <c r="F85" i="42"/>
  <c r="BU52" i="31" s="1"/>
  <c r="N85" i="42"/>
  <c r="D86" i="42"/>
  <c r="BS53" i="31" s="1"/>
  <c r="E47" i="33"/>
  <c r="D47" i="33"/>
  <c r="E46" i="33"/>
  <c r="D46" i="33"/>
  <c r="E45" i="33"/>
  <c r="D45" i="33"/>
  <c r="E44" i="33"/>
  <c r="D44" i="33"/>
  <c r="E43" i="33"/>
  <c r="D43" i="33"/>
  <c r="E42" i="33"/>
  <c r="D42" i="33"/>
  <c r="E41" i="33"/>
  <c r="D41" i="33"/>
  <c r="E40" i="33"/>
  <c r="D40" i="33"/>
  <c r="E39" i="33"/>
  <c r="D39" i="33"/>
  <c r="E38" i="33"/>
  <c r="D38" i="33"/>
  <c r="E37" i="33"/>
  <c r="D37" i="33"/>
  <c r="E36" i="33"/>
  <c r="D36" i="33"/>
  <c r="E35" i="33"/>
  <c r="D35" i="33"/>
  <c r="E34" i="33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47" i="17"/>
  <c r="D47" i="17"/>
  <c r="E46" i="17"/>
  <c r="D46" i="17"/>
  <c r="E45" i="17"/>
  <c r="D45" i="17"/>
  <c r="E44" i="17"/>
  <c r="D44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47" i="18"/>
  <c r="D47" i="18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47" i="19"/>
  <c r="D47" i="19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5" i="19"/>
  <c r="D35" i="19"/>
  <c r="E34" i="19"/>
  <c r="D34" i="19"/>
  <c r="E33" i="19"/>
  <c r="D33" i="19"/>
  <c r="E32" i="19"/>
  <c r="D32" i="19"/>
  <c r="E31" i="19"/>
  <c r="D31" i="19"/>
  <c r="E30" i="19"/>
  <c r="G30" i="19" s="1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1" i="19"/>
  <c r="D21" i="19"/>
  <c r="E20" i="19"/>
  <c r="D20" i="19"/>
  <c r="E47" i="34"/>
  <c r="D47" i="34"/>
  <c r="E46" i="34"/>
  <c r="D46" i="34"/>
  <c r="E45" i="34"/>
  <c r="D45" i="34"/>
  <c r="E44" i="34"/>
  <c r="D44" i="34"/>
  <c r="E43" i="34"/>
  <c r="D43" i="34"/>
  <c r="E42" i="34"/>
  <c r="D42" i="34"/>
  <c r="E41" i="34"/>
  <c r="D41" i="34"/>
  <c r="E40" i="34"/>
  <c r="D40" i="34"/>
  <c r="E39" i="34"/>
  <c r="D39" i="34"/>
  <c r="E38" i="34"/>
  <c r="D38" i="34"/>
  <c r="E37" i="34"/>
  <c r="D37" i="34"/>
  <c r="E36" i="34"/>
  <c r="D36" i="34"/>
  <c r="E35" i="34"/>
  <c r="D35" i="34"/>
  <c r="E34" i="34"/>
  <c r="D34" i="34"/>
  <c r="E33" i="34"/>
  <c r="D33" i="34"/>
  <c r="E32" i="34"/>
  <c r="D32" i="34"/>
  <c r="E31" i="34"/>
  <c r="D31" i="34"/>
  <c r="E30" i="34"/>
  <c r="D30" i="34"/>
  <c r="E29" i="34"/>
  <c r="D29" i="34"/>
  <c r="E28" i="34"/>
  <c r="D28" i="34"/>
  <c r="E27" i="34"/>
  <c r="D27" i="34"/>
  <c r="E26" i="34"/>
  <c r="D26" i="34"/>
  <c r="E25" i="34"/>
  <c r="D25" i="34"/>
  <c r="E24" i="34"/>
  <c r="D24" i="34"/>
  <c r="E23" i="34"/>
  <c r="D23" i="34"/>
  <c r="E22" i="34"/>
  <c r="D22" i="34"/>
  <c r="E21" i="34"/>
  <c r="D21" i="34"/>
  <c r="EF26" i="31" l="1"/>
  <c r="BZ10" i="31"/>
  <c r="BZ5" i="31" s="1"/>
  <c r="BW79" i="31"/>
  <c r="BZ80" i="31"/>
  <c r="G49" i="19"/>
  <c r="H85" i="42"/>
  <c r="BW52" i="31" s="1"/>
  <c r="E87" i="42"/>
  <c r="BT54" i="31" s="1"/>
  <c r="DR48" i="31" s="1"/>
  <c r="O86" i="42"/>
  <c r="G86" i="42"/>
  <c r="BV53" i="31" s="1"/>
  <c r="D87" i="42"/>
  <c r="BS54" i="31" s="1"/>
  <c r="F86" i="42"/>
  <c r="BU53" i="31" s="1"/>
  <c r="N86" i="42"/>
  <c r="U66" i="42"/>
  <c r="BZ33" i="31" s="1"/>
  <c r="V65" i="42"/>
  <c r="H65" i="42"/>
  <c r="BW32" i="31" s="1"/>
  <c r="DC10" i="31"/>
  <c r="DC9" i="31"/>
  <c r="DC8" i="31"/>
  <c r="DH7" i="31"/>
  <c r="DG7" i="31"/>
  <c r="DF7" i="31"/>
  <c r="DE7" i="31"/>
  <c r="DD7" i="31"/>
  <c r="BZ81" i="31" l="1"/>
  <c r="DY27" i="31"/>
  <c r="EF27" i="31" s="1"/>
  <c r="EU32" i="31"/>
  <c r="BW10" i="31"/>
  <c r="BW80" i="31"/>
  <c r="A49" i="19"/>
  <c r="H86" i="42"/>
  <c r="BW53" i="31" s="1"/>
  <c r="E88" i="42"/>
  <c r="BT55" i="31" s="1"/>
  <c r="DR49" i="31" s="1"/>
  <c r="O87" i="42"/>
  <c r="F87" i="42"/>
  <c r="BU54" i="31" s="1"/>
  <c r="N87" i="42"/>
  <c r="D88" i="42"/>
  <c r="BS55" i="31" s="1"/>
  <c r="G87" i="42"/>
  <c r="BV54" i="31" s="1"/>
  <c r="U67" i="42"/>
  <c r="BZ34" i="31" s="1"/>
  <c r="DY28" i="31" s="1"/>
  <c r="V66" i="42"/>
  <c r="H66" i="42"/>
  <c r="BW33" i="31" s="1"/>
  <c r="EF28" i="31" l="1"/>
  <c r="EU33" i="31"/>
  <c r="CH10" i="31"/>
  <c r="BW5" i="31"/>
  <c r="BX3" i="31"/>
  <c r="BW81" i="31"/>
  <c r="BZ82" i="31"/>
  <c r="N88" i="42"/>
  <c r="F88" i="42"/>
  <c r="BU55" i="31" s="1"/>
  <c r="D89" i="42"/>
  <c r="BS56" i="31" s="1"/>
  <c r="E89" i="42"/>
  <c r="BT56" i="31" s="1"/>
  <c r="DR50" i="31" s="1"/>
  <c r="O88" i="42"/>
  <c r="H87" i="42"/>
  <c r="BW54" i="31" s="1"/>
  <c r="G88" i="42"/>
  <c r="BV55" i="31" s="1"/>
  <c r="V67" i="42"/>
  <c r="U68" i="42"/>
  <c r="BZ35" i="31" s="1"/>
  <c r="DY29" i="31" s="1"/>
  <c r="EF29" i="31" s="1"/>
  <c r="H67" i="42"/>
  <c r="BW34" i="31" s="1"/>
  <c r="EU34" i="31" s="1"/>
  <c r="BW82" i="31" l="1"/>
  <c r="BZ83" i="31"/>
  <c r="H88" i="42"/>
  <c r="BW55" i="31" s="1"/>
  <c r="D90" i="42"/>
  <c r="BS57" i="31" s="1"/>
  <c r="N89" i="42"/>
  <c r="F89" i="42"/>
  <c r="BU56" i="31" s="1"/>
  <c r="G89" i="42"/>
  <c r="BV56" i="31" s="1"/>
  <c r="U69" i="42"/>
  <c r="BZ36" i="31" s="1"/>
  <c r="V68" i="42"/>
  <c r="H68" i="42"/>
  <c r="BW35" i="31" s="1"/>
  <c r="EU35" i="31" s="1"/>
  <c r="O89" i="42"/>
  <c r="E90" i="42"/>
  <c r="BT57" i="31" s="1"/>
  <c r="DR51" i="31" s="1"/>
  <c r="BZ84" i="31" l="1"/>
  <c r="DY30" i="31"/>
  <c r="EF30" i="31" s="1"/>
  <c r="BW83" i="31"/>
  <c r="O90" i="42"/>
  <c r="H89" i="42"/>
  <c r="BW56" i="31" s="1"/>
  <c r="G90" i="42"/>
  <c r="BV57" i="31" s="1"/>
  <c r="F90" i="42"/>
  <c r="BU57" i="31" s="1"/>
  <c r="N90" i="42"/>
  <c r="U70" i="42"/>
  <c r="BZ37" i="31" s="1"/>
  <c r="DY31" i="31" s="1"/>
  <c r="H69" i="42"/>
  <c r="BW36" i="31" s="1"/>
  <c r="EU36" i="31" s="1"/>
  <c r="V69" i="42"/>
  <c r="EF31" i="31" l="1"/>
  <c r="BW84" i="31"/>
  <c r="BZ85" i="31"/>
  <c r="U71" i="42"/>
  <c r="BZ38" i="31" s="1"/>
  <c r="DY32" i="31" s="1"/>
  <c r="V70" i="42"/>
  <c r="H70" i="42"/>
  <c r="BW37" i="31" s="1"/>
  <c r="EU37" i="31" s="1"/>
  <c r="H90" i="42"/>
  <c r="BW57" i="31" s="1"/>
  <c r="EF32" i="31" l="1"/>
  <c r="BZ86" i="31"/>
  <c r="BW85" i="31"/>
  <c r="U72" i="42"/>
  <c r="BZ39" i="31" s="1"/>
  <c r="DY33" i="31" s="1"/>
  <c r="EF33" i="31" s="1"/>
  <c r="V71" i="42"/>
  <c r="H71" i="42"/>
  <c r="BW38" i="31" s="1"/>
  <c r="EU38" i="31" s="1"/>
  <c r="BZ87" i="31" l="1"/>
  <c r="BW86" i="31"/>
  <c r="V72" i="42"/>
  <c r="U73" i="42"/>
  <c r="BZ40" i="31" s="1"/>
  <c r="H72" i="42"/>
  <c r="BW39" i="31" s="1"/>
  <c r="EU39" i="31" s="1"/>
  <c r="BW87" i="31" l="1"/>
  <c r="BZ88" i="31"/>
  <c r="DY34" i="31"/>
  <c r="EF34" i="31" s="1"/>
  <c r="V73" i="42"/>
  <c r="U74" i="42"/>
  <c r="BZ41" i="31" s="1"/>
  <c r="DY35" i="31" s="1"/>
  <c r="H73" i="42"/>
  <c r="BW40" i="31" s="1"/>
  <c r="EU40" i="31" s="1"/>
  <c r="EF35" i="31" l="1"/>
  <c r="BZ89" i="31"/>
  <c r="BW88" i="31"/>
  <c r="U75" i="42"/>
  <c r="BZ42" i="31" s="1"/>
  <c r="DY36" i="31" s="1"/>
  <c r="V74" i="42"/>
  <c r="H74" i="42"/>
  <c r="BW41" i="31" s="1"/>
  <c r="EU41" i="31" s="1"/>
  <c r="EF36" i="31" l="1"/>
  <c r="BZ90" i="31"/>
  <c r="BW89" i="31"/>
  <c r="U76" i="42"/>
  <c r="BZ43" i="31" s="1"/>
  <c r="DY37" i="31" s="1"/>
  <c r="EF37" i="31" s="1"/>
  <c r="V75" i="42"/>
  <c r="H75" i="42"/>
  <c r="BW42" i="31" s="1"/>
  <c r="EU42" i="31" s="1"/>
  <c r="BW90" i="31" l="1"/>
  <c r="BZ91" i="31"/>
  <c r="U77" i="42"/>
  <c r="BZ44" i="31" s="1"/>
  <c r="DY38" i="31" s="1"/>
  <c r="EF38" i="31" s="1"/>
  <c r="H76" i="42"/>
  <c r="BW43" i="31" s="1"/>
  <c r="EU43" i="31" s="1"/>
  <c r="V76" i="42"/>
  <c r="BZ92" i="31" l="1"/>
  <c r="BW91" i="31"/>
  <c r="U78" i="42"/>
  <c r="BZ45" i="31" s="1"/>
  <c r="DY39" i="31" s="1"/>
  <c r="EF39" i="31" s="1"/>
  <c r="V77" i="42"/>
  <c r="H77" i="42"/>
  <c r="BW44" i="31" s="1"/>
  <c r="EU44" i="31" s="1"/>
  <c r="BW92" i="31" l="1"/>
  <c r="BZ93" i="31"/>
  <c r="U79" i="42"/>
  <c r="BZ46" i="31" s="1"/>
  <c r="DY40" i="31" s="1"/>
  <c r="EF40" i="31" s="1"/>
  <c r="V78" i="42"/>
  <c r="H78" i="42"/>
  <c r="BW45" i="31" s="1"/>
  <c r="EU45" i="31" s="1"/>
  <c r="BZ94" i="31" l="1"/>
  <c r="BW93" i="31"/>
  <c r="U80" i="42"/>
  <c r="BZ47" i="31" s="1"/>
  <c r="V79" i="42"/>
  <c r="H79" i="42"/>
  <c r="BW46" i="31" s="1"/>
  <c r="EU46" i="31" s="1"/>
  <c r="BW94" i="31" l="1"/>
  <c r="DY41" i="31"/>
  <c r="EF41" i="31" s="1"/>
  <c r="BZ12" i="31"/>
  <c r="BZ11" i="31"/>
  <c r="BZ95" i="31"/>
  <c r="CA61" i="31" s="1"/>
  <c r="CA63" i="31" s="1"/>
  <c r="CA64" i="31" s="1"/>
  <c r="CA65" i="31" s="1"/>
  <c r="CA66" i="31" s="1"/>
  <c r="CA67" i="31" s="1"/>
  <c r="CA68" i="31" s="1"/>
  <c r="CA69" i="31" s="1"/>
  <c r="CA70" i="31" s="1"/>
  <c r="CA71" i="31" s="1"/>
  <c r="CA72" i="31" s="1"/>
  <c r="CA73" i="31" s="1"/>
  <c r="CA74" i="31" s="1"/>
  <c r="CA75" i="31" s="1"/>
  <c r="CA76" i="31" s="1"/>
  <c r="CA77" i="31" s="1"/>
  <c r="CA78" i="31" s="1"/>
  <c r="CA79" i="31" s="1"/>
  <c r="CA80" i="31" s="1"/>
  <c r="CA81" i="31" s="1"/>
  <c r="CA82" i="31" s="1"/>
  <c r="CA83" i="31" s="1"/>
  <c r="CA84" i="31" s="1"/>
  <c r="CA85" i="31" s="1"/>
  <c r="CA86" i="31" s="1"/>
  <c r="CA87" i="31" s="1"/>
  <c r="CA88" i="31" s="1"/>
  <c r="CA89" i="31" s="1"/>
  <c r="CA90" i="31" s="1"/>
  <c r="CA91" i="31" s="1"/>
  <c r="CA92" i="31" s="1"/>
  <c r="CA93" i="31" s="1"/>
  <c r="CA94" i="31" s="1"/>
  <c r="CA95" i="31" s="1"/>
  <c r="U81" i="42"/>
  <c r="BZ48" i="31" s="1"/>
  <c r="DY42" i="31" s="1"/>
  <c r="EF42" i="31" s="1"/>
  <c r="V80" i="42"/>
  <c r="H80" i="42"/>
  <c r="BW47" i="31" s="1"/>
  <c r="BW95" i="31" l="1"/>
  <c r="CH40" i="31" s="1"/>
  <c r="EU47" i="31"/>
  <c r="BW12" i="31"/>
  <c r="CH12" i="31" s="1"/>
  <c r="BW11" i="31"/>
  <c r="CH11" i="31" s="1"/>
  <c r="V81" i="42"/>
  <c r="U82" i="42"/>
  <c r="BZ49" i="31" s="1"/>
  <c r="DY43" i="31" s="1"/>
  <c r="EF43" i="31" s="1"/>
  <c r="U83" i="42" l="1"/>
  <c r="BZ50" i="31" s="1"/>
  <c r="DY44" i="31" s="1"/>
  <c r="EF44" i="31" s="1"/>
  <c r="V82" i="42"/>
  <c r="V83" i="42" l="1"/>
  <c r="U84" i="42"/>
  <c r="BZ51" i="31" s="1"/>
  <c r="DY45" i="31" s="1"/>
  <c r="EF45" i="31" s="1"/>
  <c r="U85" i="42" l="1"/>
  <c r="BZ52" i="31" s="1"/>
  <c r="DY46" i="31" s="1"/>
  <c r="EF46" i="31" s="1"/>
  <c r="V84" i="42"/>
  <c r="U86" i="42" l="1"/>
  <c r="BZ53" i="31" s="1"/>
  <c r="DY47" i="31" s="1"/>
  <c r="EF47" i="31" s="1"/>
  <c r="V85" i="42"/>
  <c r="U87" i="42" l="1"/>
  <c r="BZ54" i="31" s="1"/>
  <c r="DY48" i="31" s="1"/>
  <c r="EF48" i="31" s="1"/>
  <c r="V86" i="42"/>
  <c r="V87" i="42" l="1"/>
  <c r="U88" i="42"/>
  <c r="BZ55" i="31" s="1"/>
  <c r="DY49" i="31" s="1"/>
  <c r="EF49" i="31" s="1"/>
  <c r="V88" i="42" l="1"/>
  <c r="U89" i="42"/>
  <c r="BZ56" i="31" s="1"/>
  <c r="DY50" i="31" s="1"/>
  <c r="EF50" i="31" s="1"/>
  <c r="V89" i="42" l="1"/>
  <c r="U90" i="42"/>
  <c r="BZ57" i="31" s="1"/>
  <c r="DY51" i="31" s="1"/>
  <c r="EF51" i="31" s="1"/>
  <c r="U91" i="42" l="1"/>
  <c r="V90" i="42"/>
  <c r="V91" i="42" l="1"/>
  <c r="U92" i="42"/>
  <c r="V92" i="42" l="1"/>
  <c r="U93" i="42"/>
  <c r="V93" i="42" l="1"/>
  <c r="AC62" i="31" l="1"/>
  <c r="AM62" i="31" s="1"/>
  <c r="AW62" i="31" s="1"/>
  <c r="BQ62" i="31" s="1"/>
  <c r="CA62" i="31" s="1"/>
  <c r="BF65" i="31"/>
  <c r="BF66" i="31" s="1"/>
  <c r="BF67" i="31" s="1"/>
  <c r="BF68" i="31" s="1"/>
  <c r="BF69" i="31" s="1"/>
  <c r="BF70" i="31" s="1"/>
  <c r="BF71" i="31" s="1"/>
  <c r="BF72" i="31" s="1"/>
  <c r="BF73" i="31" s="1"/>
  <c r="BF74" i="31" s="1"/>
  <c r="BF75" i="31" s="1"/>
  <c r="AV65" i="31"/>
  <c r="AV66" i="31" s="1"/>
  <c r="AV67" i="31" s="1"/>
  <c r="AV68" i="31" s="1"/>
  <c r="AV69" i="31" s="1"/>
  <c r="AV70" i="31" s="1"/>
  <c r="AV71" i="31" s="1"/>
  <c r="AV72" i="31" s="1"/>
  <c r="AV73" i="31" s="1"/>
  <c r="AV74" i="31" s="1"/>
  <c r="AV75" i="31" s="1"/>
  <c r="AL65" i="31"/>
  <c r="AL66" i="31" s="1"/>
  <c r="AL67" i="31" s="1"/>
  <c r="AL68" i="31" s="1"/>
  <c r="AL69" i="31" s="1"/>
  <c r="AL70" i="31" s="1"/>
  <c r="AL71" i="31" s="1"/>
  <c r="AL72" i="31" s="1"/>
  <c r="AL73" i="31" s="1"/>
  <c r="AL74" i="31" s="1"/>
  <c r="AL75" i="31" s="1"/>
  <c r="AB65" i="31"/>
  <c r="AB66" i="31" s="1"/>
  <c r="AB67" i="31" s="1"/>
  <c r="AB68" i="31" s="1"/>
  <c r="AB69" i="31" s="1"/>
  <c r="AB70" i="31" s="1"/>
  <c r="AB71" i="31" s="1"/>
  <c r="AB72" i="31" s="1"/>
  <c r="AB73" i="31" s="1"/>
  <c r="AB74" i="31" s="1"/>
  <c r="AB75" i="31" s="1"/>
  <c r="R65" i="31"/>
  <c r="R66" i="31" s="1"/>
  <c r="R67" i="31" s="1"/>
  <c r="R68" i="31" s="1"/>
  <c r="R69" i="31" s="1"/>
  <c r="R70" i="31" s="1"/>
  <c r="R71" i="31" s="1"/>
  <c r="R72" i="31" s="1"/>
  <c r="R73" i="31" s="1"/>
  <c r="R74" i="31" s="1"/>
  <c r="R75" i="31" s="1"/>
  <c r="R62" i="31"/>
  <c r="R9" i="31" l="1"/>
  <c r="R8" i="31"/>
  <c r="AB14" i="31"/>
  <c r="AB62" i="31" s="1"/>
  <c r="AB9" i="31"/>
  <c r="AB8" i="31"/>
  <c r="AL9" i="31"/>
  <c r="AL8" i="31"/>
  <c r="AL4" i="31" s="1"/>
  <c r="AV9" i="31"/>
  <c r="AV8" i="31"/>
  <c r="BF9" i="31"/>
  <c r="BF8" i="31"/>
  <c r="V16" i="31"/>
  <c r="DM10" i="31" s="1"/>
  <c r="U16" i="31"/>
  <c r="V15" i="31"/>
  <c r="DM9" i="31" s="1"/>
  <c r="U15" i="31"/>
  <c r="S7" i="31"/>
  <c r="U7" i="31"/>
  <c r="T7" i="31"/>
  <c r="C82" i="34"/>
  <c r="O49" i="34"/>
  <c r="N49" i="34"/>
  <c r="G49" i="34"/>
  <c r="N48" i="34"/>
  <c r="K47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M13" i="34"/>
  <c r="N13" i="34" s="1"/>
  <c r="M12" i="34"/>
  <c r="M11" i="34"/>
  <c r="N8" i="34"/>
  <c r="N7" i="34"/>
  <c r="N6" i="34"/>
  <c r="N5" i="34"/>
  <c r="N2" i="34"/>
  <c r="M2" i="34"/>
  <c r="N1" i="34"/>
  <c r="M1" i="34"/>
  <c r="G7" i="34"/>
  <c r="F7" i="34"/>
  <c r="F5" i="34"/>
  <c r="D4" i="34"/>
  <c r="D5" i="34" s="1"/>
  <c r="D2" i="34" s="1"/>
  <c r="N60" i="34" s="1"/>
  <c r="Q60" i="34" s="1"/>
  <c r="C4" i="34"/>
  <c r="AE1" i="34"/>
  <c r="AE4" i="34" s="1"/>
  <c r="AE5" i="34" s="1"/>
  <c r="AE2" i="34" s="1"/>
  <c r="AE52" i="34" s="1"/>
  <c r="AZ16" i="31"/>
  <c r="DQ10" i="31" s="1"/>
  <c r="AY16" i="31"/>
  <c r="AZ15" i="31"/>
  <c r="DQ9" i="31" s="1"/>
  <c r="AY15" i="31"/>
  <c r="C82" i="33"/>
  <c r="AX49" i="31" s="1"/>
  <c r="AY17" i="31"/>
  <c r="AZ17" i="31"/>
  <c r="DQ11" i="31" s="1"/>
  <c r="O48" i="33"/>
  <c r="K47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M13" i="33"/>
  <c r="M12" i="33"/>
  <c r="N12" i="33" s="1"/>
  <c r="M11" i="33"/>
  <c r="N8" i="33"/>
  <c r="N7" i="33"/>
  <c r="N6" i="33"/>
  <c r="N5" i="33"/>
  <c r="N2" i="33"/>
  <c r="M2" i="33"/>
  <c r="N1" i="33"/>
  <c r="M1" i="33"/>
  <c r="G7" i="33"/>
  <c r="F7" i="33"/>
  <c r="I7" i="33" s="1"/>
  <c r="F5" i="33"/>
  <c r="D4" i="33"/>
  <c r="D5" i="33" s="1"/>
  <c r="C4" i="33"/>
  <c r="A82" i="19"/>
  <c r="A82" i="17"/>
  <c r="A82" i="18"/>
  <c r="AP16" i="31"/>
  <c r="DP10" i="31" s="1"/>
  <c r="AO16" i="31"/>
  <c r="AP15" i="31"/>
  <c r="DP9" i="31" s="1"/>
  <c r="AO15" i="31"/>
  <c r="AO7" i="31"/>
  <c r="AN7" i="31"/>
  <c r="AM7" i="31"/>
  <c r="AE7" i="31"/>
  <c r="AD7" i="31"/>
  <c r="AC7" i="31"/>
  <c r="S12" i="31"/>
  <c r="AC12" i="31" s="1"/>
  <c r="AM12" i="31" s="1"/>
  <c r="AW12" i="31" s="1"/>
  <c r="S11" i="31"/>
  <c r="AC11" i="31" s="1"/>
  <c r="AM11" i="31" s="1"/>
  <c r="AW11" i="31" s="1"/>
  <c r="S10" i="31"/>
  <c r="AC10" i="31" s="1"/>
  <c r="AM10" i="31" s="1"/>
  <c r="AW10" i="31" s="1"/>
  <c r="S9" i="31"/>
  <c r="AC9" i="31" s="1"/>
  <c r="AM9" i="31" s="1"/>
  <c r="AW9" i="31" s="1"/>
  <c r="S8" i="31"/>
  <c r="AC8" i="31" s="1"/>
  <c r="AM8" i="31" s="1"/>
  <c r="AW8" i="31" s="1"/>
  <c r="X13" i="31"/>
  <c r="AH13" i="31" s="1"/>
  <c r="AR13" i="31" s="1"/>
  <c r="BB13" i="31" s="1"/>
  <c r="W13" i="31"/>
  <c r="AG13" i="31" s="1"/>
  <c r="AQ13" i="31" s="1"/>
  <c r="BA13" i="31" s="1"/>
  <c r="K7" i="31"/>
  <c r="J7" i="31"/>
  <c r="I7" i="31"/>
  <c r="L16" i="31"/>
  <c r="K16" i="31"/>
  <c r="L15" i="31"/>
  <c r="K15" i="31"/>
  <c r="L14" i="31"/>
  <c r="K14" i="31"/>
  <c r="J14" i="31"/>
  <c r="I14" i="31"/>
  <c r="Y49" i="33" l="1"/>
  <c r="Y48" i="33"/>
  <c r="AE1" i="33"/>
  <c r="AE4" i="33" s="1"/>
  <c r="AE5" i="33" s="1"/>
  <c r="AE2" i="33" s="1"/>
  <c r="AE52" i="33" s="1"/>
  <c r="AG52" i="33" s="1"/>
  <c r="E52" i="33" s="1"/>
  <c r="AZ7" i="31"/>
  <c r="F22" i="34"/>
  <c r="F20" i="34"/>
  <c r="H20" i="34" s="1"/>
  <c r="AG52" i="34"/>
  <c r="E52" i="34" s="1"/>
  <c r="AE53" i="34"/>
  <c r="Y48" i="34"/>
  <c r="M14" i="33"/>
  <c r="T49" i="31"/>
  <c r="E4" i="34"/>
  <c r="E5" i="34" s="1"/>
  <c r="E2" i="34" s="1"/>
  <c r="AE1" i="50"/>
  <c r="AE2" i="50" s="1"/>
  <c r="AE3" i="50" s="1"/>
  <c r="AE6" i="50" s="1"/>
  <c r="E4" i="33"/>
  <c r="E5" i="33" s="1"/>
  <c r="AI1" i="50"/>
  <c r="AI2" i="50" s="1"/>
  <c r="AI3" i="50" s="1"/>
  <c r="AI6" i="50" s="1"/>
  <c r="G50" i="34"/>
  <c r="X17" i="31" s="1"/>
  <c r="U17" i="31"/>
  <c r="U65" i="31" s="1"/>
  <c r="DN9" i="31"/>
  <c r="DN10" i="31"/>
  <c r="K62" i="31"/>
  <c r="J62" i="31"/>
  <c r="L62" i="31"/>
  <c r="N62" i="31" s="1"/>
  <c r="C83" i="33"/>
  <c r="AX50" i="31" s="1"/>
  <c r="Y50" i="33"/>
  <c r="N13" i="33"/>
  <c r="N15" i="33" s="1"/>
  <c r="M15" i="33"/>
  <c r="N11" i="34"/>
  <c r="M15" i="34"/>
  <c r="DX61" i="31"/>
  <c r="V17" i="31"/>
  <c r="AY18" i="31"/>
  <c r="M14" i="34"/>
  <c r="X16" i="31"/>
  <c r="BF4" i="31"/>
  <c r="CG7" i="31"/>
  <c r="CG36" i="31" s="1"/>
  <c r="AV4" i="31"/>
  <c r="AZ65" i="31"/>
  <c r="V7" i="31"/>
  <c r="CE7" i="31"/>
  <c r="AY65" i="31"/>
  <c r="AL14" i="31"/>
  <c r="AB4" i="31"/>
  <c r="CD7" i="31"/>
  <c r="CD36" i="31" s="1"/>
  <c r="CF7" i="31"/>
  <c r="CF36" i="31" s="1"/>
  <c r="T14" i="31"/>
  <c r="T62" i="31" s="1"/>
  <c r="U14" i="31"/>
  <c r="U62" i="31" s="1"/>
  <c r="V14" i="31"/>
  <c r="W14" i="31"/>
  <c r="W62" i="31" s="1"/>
  <c r="M62" i="31"/>
  <c r="S14" i="31"/>
  <c r="AC14" i="31" s="1"/>
  <c r="AM14" i="31" s="1"/>
  <c r="AW14" i="31" s="1"/>
  <c r="I62" i="31"/>
  <c r="CC7" i="31"/>
  <c r="R4" i="31"/>
  <c r="D61" i="34"/>
  <c r="F33" i="34"/>
  <c r="F29" i="34"/>
  <c r="N12" i="34"/>
  <c r="N15" i="34" s="1"/>
  <c r="F24" i="34"/>
  <c r="F31" i="34"/>
  <c r="F30" i="34"/>
  <c r="F37" i="34"/>
  <c r="F34" i="34"/>
  <c r="F32" i="34"/>
  <c r="F23" i="34"/>
  <c r="F48" i="34"/>
  <c r="F35" i="34"/>
  <c r="F28" i="34"/>
  <c r="F27" i="34"/>
  <c r="F49" i="34"/>
  <c r="F43" i="34"/>
  <c r="F26" i="34"/>
  <c r="F36" i="34"/>
  <c r="F46" i="34"/>
  <c r="F39" i="34"/>
  <c r="F42" i="34"/>
  <c r="O50" i="34"/>
  <c r="R50" i="34" s="1"/>
  <c r="F25" i="34"/>
  <c r="F40" i="34"/>
  <c r="F44" i="34"/>
  <c r="N50" i="34"/>
  <c r="F50" i="34"/>
  <c r="F38" i="34"/>
  <c r="F47" i="34"/>
  <c r="C83" i="34"/>
  <c r="F41" i="34"/>
  <c r="O48" i="34"/>
  <c r="G48" i="34"/>
  <c r="F45" i="34"/>
  <c r="F21" i="34"/>
  <c r="N11" i="33"/>
  <c r="F46" i="33"/>
  <c r="F45" i="33"/>
  <c r="F44" i="33"/>
  <c r="F43" i="33"/>
  <c r="F39" i="33"/>
  <c r="F36" i="33"/>
  <c r="F31" i="33"/>
  <c r="F23" i="33"/>
  <c r="F41" i="33"/>
  <c r="F49" i="33"/>
  <c r="F40" i="33"/>
  <c r="F27" i="33"/>
  <c r="F22" i="33"/>
  <c r="F26" i="33"/>
  <c r="F30" i="33"/>
  <c r="F24" i="33"/>
  <c r="F34" i="33"/>
  <c r="F47" i="33"/>
  <c r="F20" i="33"/>
  <c r="F38" i="33"/>
  <c r="F35" i="33"/>
  <c r="F32" i="33"/>
  <c r="F25" i="33"/>
  <c r="F42" i="33"/>
  <c r="F28" i="33"/>
  <c r="F37" i="33"/>
  <c r="O50" i="33"/>
  <c r="R50" i="33" s="1"/>
  <c r="G50" i="33"/>
  <c r="AZ18" i="31"/>
  <c r="DQ12" i="31" s="1"/>
  <c r="N49" i="33"/>
  <c r="F48" i="33"/>
  <c r="N48" i="33"/>
  <c r="G49" i="33"/>
  <c r="O49" i="33"/>
  <c r="F51" i="33"/>
  <c r="N51" i="33"/>
  <c r="F21" i="33"/>
  <c r="F29" i="33"/>
  <c r="F33" i="33"/>
  <c r="G48" i="33"/>
  <c r="F50" i="33"/>
  <c r="N50" i="33"/>
  <c r="Q50" i="33" s="1"/>
  <c r="AE53" i="33" l="1"/>
  <c r="AG53" i="33" s="1"/>
  <c r="E53" i="33" s="1"/>
  <c r="F3" i="44"/>
  <c r="M3" i="44" s="1"/>
  <c r="R3" i="44" s="1"/>
  <c r="CE36" i="31"/>
  <c r="D3" i="44"/>
  <c r="K3" i="44" s="1"/>
  <c r="P3" i="44" s="1"/>
  <c r="CC36" i="31"/>
  <c r="Y49" i="34"/>
  <c r="AE54" i="34"/>
  <c r="AG53" i="34"/>
  <c r="E53" i="34" s="1"/>
  <c r="AZ13" i="31"/>
  <c r="H3" i="44"/>
  <c r="T50" i="31"/>
  <c r="AE7" i="50"/>
  <c r="AE21" i="50"/>
  <c r="AI7" i="50"/>
  <c r="AI21" i="50"/>
  <c r="V18" i="31"/>
  <c r="DM12" i="31" s="1"/>
  <c r="U18" i="31"/>
  <c r="U66" i="31" s="1"/>
  <c r="Q50" i="34"/>
  <c r="N14" i="33"/>
  <c r="AP13" i="31"/>
  <c r="G3" i="44"/>
  <c r="N3" i="44" s="1"/>
  <c r="S3" i="44" s="1"/>
  <c r="L13" i="31"/>
  <c r="E3" i="44"/>
  <c r="L3" i="44" s="1"/>
  <c r="Q3" i="44" s="1"/>
  <c r="AF13" i="31"/>
  <c r="V65" i="31"/>
  <c r="DM11" i="31"/>
  <c r="V13" i="31"/>
  <c r="V62" i="31"/>
  <c r="X62" i="31" s="1"/>
  <c r="AY66" i="31"/>
  <c r="Y51" i="33"/>
  <c r="C84" i="33"/>
  <c r="AX51" i="31" s="1"/>
  <c r="BB17" i="31"/>
  <c r="AZ66" i="31"/>
  <c r="BA18" i="31"/>
  <c r="BA17" i="31"/>
  <c r="BB15" i="31"/>
  <c r="BB16" i="31"/>
  <c r="BA16" i="31"/>
  <c r="D2" i="33"/>
  <c r="BA15" i="31"/>
  <c r="W17" i="31"/>
  <c r="W15" i="31"/>
  <c r="N14" i="34"/>
  <c r="W16" i="31"/>
  <c r="X15" i="31"/>
  <c r="X65" i="31" s="1"/>
  <c r="CH3" i="31"/>
  <c r="O14" i="31"/>
  <c r="ER14" i="31" s="1"/>
  <c r="AI14" i="31"/>
  <c r="BC14" i="31"/>
  <c r="BC62" i="31" s="1"/>
  <c r="AS14" i="31"/>
  <c r="Y14" i="31"/>
  <c r="AL62" i="31"/>
  <c r="AV14" i="31"/>
  <c r="AF14" i="31"/>
  <c r="AF62" i="31" s="1"/>
  <c r="AH62" i="31" s="1"/>
  <c r="AE14" i="31"/>
  <c r="AE62" i="31" s="1"/>
  <c r="AG14" i="31"/>
  <c r="AG62" i="31" s="1"/>
  <c r="AD14" i="31"/>
  <c r="AD62" i="31" s="1"/>
  <c r="F51" i="34"/>
  <c r="N51" i="34"/>
  <c r="C84" i="34"/>
  <c r="O51" i="34"/>
  <c r="G51" i="34"/>
  <c r="O51" i="33"/>
  <c r="G51" i="33"/>
  <c r="E2" i="33"/>
  <c r="AE54" i="33" l="1"/>
  <c r="AG54" i="33" s="1"/>
  <c r="E54" i="33" s="1"/>
  <c r="DN8" i="31"/>
  <c r="DU8" i="31" s="1"/>
  <c r="EB8" i="31" s="1"/>
  <c r="EI8" i="31" s="1"/>
  <c r="C14" i="31"/>
  <c r="R18" i="29" s="1"/>
  <c r="DP8" i="31"/>
  <c r="DW8" i="31" s="1"/>
  <c r="ED8" i="31" s="1"/>
  <c r="EK8" i="31" s="1"/>
  <c r="E14" i="31"/>
  <c r="T18" i="29" s="1"/>
  <c r="DM8" i="31"/>
  <c r="DT8" i="31" s="1"/>
  <c r="EA8" i="31" s="1"/>
  <c r="EH8" i="31" s="1"/>
  <c r="B14" i="31"/>
  <c r="Q18" i="29" s="1"/>
  <c r="DO8" i="31"/>
  <c r="DV8" i="31" s="1"/>
  <c r="EC8" i="31" s="1"/>
  <c r="EJ8" i="31" s="1"/>
  <c r="D14" i="31"/>
  <c r="S18" i="29" s="1"/>
  <c r="DQ8" i="31"/>
  <c r="DX8" i="31" s="1"/>
  <c r="EE8" i="31" s="1"/>
  <c r="F14" i="31"/>
  <c r="U18" i="29" s="1"/>
  <c r="AS62" i="31"/>
  <c r="ET14" i="31"/>
  <c r="AI62" i="31"/>
  <c r="ES14" i="31"/>
  <c r="Y62" i="31"/>
  <c r="EQ14" i="31"/>
  <c r="AE55" i="34"/>
  <c r="AG54" i="34"/>
  <c r="E54" i="34" s="1"/>
  <c r="Y50" i="34"/>
  <c r="AE8" i="50"/>
  <c r="AE22" i="50"/>
  <c r="T51" i="31"/>
  <c r="AI8" i="50"/>
  <c r="AI22" i="50"/>
  <c r="V66" i="31"/>
  <c r="V19" i="31"/>
  <c r="DM13" i="31" s="1"/>
  <c r="U19" i="31"/>
  <c r="U67" i="31" s="1"/>
  <c r="F52" i="33"/>
  <c r="AY20" i="31"/>
  <c r="N52" i="33"/>
  <c r="O62" i="31"/>
  <c r="C85" i="33"/>
  <c r="AX52" i="31" s="1"/>
  <c r="Y52" i="33"/>
  <c r="BB65" i="31"/>
  <c r="CG3" i="31"/>
  <c r="BA65" i="31"/>
  <c r="BA66" i="31" s="1"/>
  <c r="BB18" i="31"/>
  <c r="X18" i="31"/>
  <c r="X66" i="31" s="1"/>
  <c r="W18" i="31"/>
  <c r="W65" i="31"/>
  <c r="CC3" i="31"/>
  <c r="BF14" i="31"/>
  <c r="AV62" i="31"/>
  <c r="AN14" i="31"/>
  <c r="AN62" i="31" s="1"/>
  <c r="AO14" i="31"/>
  <c r="AO62" i="31" s="1"/>
  <c r="AQ14" i="31"/>
  <c r="AQ62" i="31" s="1"/>
  <c r="AP14" i="31"/>
  <c r="AP62" i="31" s="1"/>
  <c r="AR62" i="31" s="1"/>
  <c r="F52" i="34"/>
  <c r="N52" i="34"/>
  <c r="C85" i="34"/>
  <c r="O52" i="34"/>
  <c r="G52" i="34"/>
  <c r="O52" i="33"/>
  <c r="G52" i="33"/>
  <c r="AE55" i="33" l="1"/>
  <c r="AE56" i="33" s="1"/>
  <c r="AE56" i="34"/>
  <c r="AG55" i="34"/>
  <c r="E55" i="34" s="1"/>
  <c r="Y51" i="34"/>
  <c r="T52" i="31"/>
  <c r="AE9" i="50"/>
  <c r="AE23" i="50"/>
  <c r="AI9" i="50"/>
  <c r="AI23" i="50"/>
  <c r="G53" i="33"/>
  <c r="AZ19" i="31"/>
  <c r="AY19" i="31"/>
  <c r="AY67" i="31" s="1"/>
  <c r="AY68" i="31" s="1"/>
  <c r="V67" i="31"/>
  <c r="V20" i="31"/>
  <c r="DM14" i="31" s="1"/>
  <c r="U20" i="31"/>
  <c r="U68" i="31" s="1"/>
  <c r="BA19" i="31"/>
  <c r="BA67" i="31" s="1"/>
  <c r="F53" i="33"/>
  <c r="N53" i="33"/>
  <c r="AY21" i="31"/>
  <c r="DY60" i="31"/>
  <c r="EC60" i="31"/>
  <c r="EB60" i="31"/>
  <c r="W66" i="31"/>
  <c r="EA60" i="31"/>
  <c r="Y53" i="33"/>
  <c r="C86" i="33"/>
  <c r="AX53" i="31" s="1"/>
  <c r="BB66" i="31"/>
  <c r="BB19" i="31"/>
  <c r="X19" i="31"/>
  <c r="W19" i="31"/>
  <c r="BF62" i="31"/>
  <c r="AX14" i="31"/>
  <c r="AX62" i="31" s="1"/>
  <c r="AZ14" i="31"/>
  <c r="AZ62" i="31" s="1"/>
  <c r="BB62" i="31" s="1"/>
  <c r="BA14" i="31"/>
  <c r="BA62" i="31" s="1"/>
  <c r="AY14" i="31"/>
  <c r="AY62" i="31" s="1"/>
  <c r="N53" i="34"/>
  <c r="F53" i="34"/>
  <c r="C86" i="34"/>
  <c r="O53" i="34"/>
  <c r="G53" i="34"/>
  <c r="O53" i="33"/>
  <c r="AG55" i="33" l="1"/>
  <c r="E55" i="33" s="1"/>
  <c r="Y52" i="34"/>
  <c r="AE57" i="34"/>
  <c r="AG56" i="34"/>
  <c r="E56" i="34" s="1"/>
  <c r="AE57" i="33"/>
  <c r="AG56" i="33"/>
  <c r="E56" i="33" s="1"/>
  <c r="T53" i="31"/>
  <c r="AE10" i="50"/>
  <c r="AE24" i="50"/>
  <c r="V68" i="31"/>
  <c r="DQ13" i="31"/>
  <c r="AZ67" i="31"/>
  <c r="AZ20" i="31"/>
  <c r="AI10" i="50"/>
  <c r="AI24" i="50"/>
  <c r="V21" i="31"/>
  <c r="DM15" i="31" s="1"/>
  <c r="BA20" i="31"/>
  <c r="BA68" i="31" s="1"/>
  <c r="F54" i="33"/>
  <c r="U21" i="31"/>
  <c r="U69" i="31" s="1"/>
  <c r="AY22" i="31"/>
  <c r="AY8" i="31" s="1"/>
  <c r="N54" i="33"/>
  <c r="AY69" i="31"/>
  <c r="DZ60" i="31"/>
  <c r="C87" i="33"/>
  <c r="AX54" i="31" s="1"/>
  <c r="Y54" i="33"/>
  <c r="BB20" i="31"/>
  <c r="BB67" i="31"/>
  <c r="BA21" i="31"/>
  <c r="W20" i="31"/>
  <c r="W67" i="31"/>
  <c r="X20" i="31"/>
  <c r="X67" i="31"/>
  <c r="O54" i="34"/>
  <c r="G54" i="34"/>
  <c r="C87" i="34"/>
  <c r="F54" i="34"/>
  <c r="N54" i="34"/>
  <c r="O54" i="33"/>
  <c r="G54" i="33"/>
  <c r="BT62" i="31" l="1"/>
  <c r="BV62" i="31" s="1"/>
  <c r="BS62" i="31"/>
  <c r="BR62" i="31"/>
  <c r="Y53" i="34"/>
  <c r="AE58" i="34"/>
  <c r="AG57" i="34"/>
  <c r="E57" i="34" s="1"/>
  <c r="AG57" i="33"/>
  <c r="E57" i="33" s="1"/>
  <c r="AE58" i="33"/>
  <c r="AE11" i="50"/>
  <c r="AE25" i="50"/>
  <c r="T54" i="31"/>
  <c r="AI11" i="50"/>
  <c r="AI25" i="50"/>
  <c r="DQ14" i="31"/>
  <c r="AZ68" i="31"/>
  <c r="G55" i="33"/>
  <c r="AZ21" i="31"/>
  <c r="V69" i="31"/>
  <c r="F55" i="33"/>
  <c r="N55" i="33"/>
  <c r="Q55" i="33" s="1"/>
  <c r="V22" i="31"/>
  <c r="V8" i="31" s="1"/>
  <c r="AY23" i="31"/>
  <c r="AY70" i="31"/>
  <c r="U22" i="31"/>
  <c r="U8" i="31" s="1"/>
  <c r="BB68" i="31"/>
  <c r="Y55" i="33"/>
  <c r="C88" i="33"/>
  <c r="AX55" i="31" s="1"/>
  <c r="BB21" i="31"/>
  <c r="BA69" i="31"/>
  <c r="W68" i="31"/>
  <c r="X68" i="31"/>
  <c r="X21" i="31"/>
  <c r="W21" i="31"/>
  <c r="C88" i="34"/>
  <c r="O55" i="34"/>
  <c r="R55" i="34" s="1"/>
  <c r="G55" i="34"/>
  <c r="N55" i="34"/>
  <c r="F55" i="34"/>
  <c r="Y54" i="34" l="1"/>
  <c r="AE59" i="34"/>
  <c r="AG58" i="34"/>
  <c r="E58" i="34" s="1"/>
  <c r="AE59" i="33"/>
  <c r="AG58" i="33"/>
  <c r="E58" i="33" s="1"/>
  <c r="T55" i="31"/>
  <c r="AE12" i="50"/>
  <c r="AE26" i="50"/>
  <c r="DM16" i="31"/>
  <c r="O55" i="33"/>
  <c r="R55" i="33" s="1"/>
  <c r="DQ15" i="31"/>
  <c r="AZ69" i="31"/>
  <c r="O56" i="33"/>
  <c r="AZ22" i="31"/>
  <c r="BA22" i="31"/>
  <c r="BA8" i="31" s="1"/>
  <c r="AI12" i="50"/>
  <c r="AI26" i="50"/>
  <c r="AY71" i="31"/>
  <c r="N56" i="33"/>
  <c r="AY24" i="31"/>
  <c r="F56" i="33"/>
  <c r="V70" i="31"/>
  <c r="U70" i="31"/>
  <c r="V23" i="31"/>
  <c r="DM17" i="31" s="1"/>
  <c r="Q55" i="34"/>
  <c r="U23" i="31"/>
  <c r="Y56" i="33"/>
  <c r="C89" i="33"/>
  <c r="AX56" i="31" s="1"/>
  <c r="BB69" i="31"/>
  <c r="BB22" i="31"/>
  <c r="BB8" i="31" s="1"/>
  <c r="W69" i="31"/>
  <c r="X69" i="31"/>
  <c r="X22" i="31"/>
  <c r="X8" i="31" s="1"/>
  <c r="W22" i="31"/>
  <c r="W8" i="31" s="1"/>
  <c r="O56" i="34"/>
  <c r="G56" i="34"/>
  <c r="C89" i="34"/>
  <c r="N56" i="34"/>
  <c r="F56" i="34"/>
  <c r="AY25" i="31"/>
  <c r="N57" i="33"/>
  <c r="F57" i="33"/>
  <c r="Y55" i="34" l="1"/>
  <c r="AE60" i="34"/>
  <c r="AG59" i="34"/>
  <c r="E59" i="34" s="1"/>
  <c r="AG59" i="33"/>
  <c r="E59" i="33" s="1"/>
  <c r="AE60" i="33"/>
  <c r="AE13" i="50"/>
  <c r="AE27" i="50"/>
  <c r="T56" i="31"/>
  <c r="V71" i="31"/>
  <c r="AY72" i="31"/>
  <c r="AY73" i="31" s="1"/>
  <c r="G56" i="33"/>
  <c r="BB23" i="31" s="1"/>
  <c r="AZ8" i="31"/>
  <c r="DQ16" i="31"/>
  <c r="AZ70" i="31"/>
  <c r="BA70" i="31"/>
  <c r="G57" i="33"/>
  <c r="AZ23" i="31"/>
  <c r="AI13" i="50"/>
  <c r="AI27" i="50"/>
  <c r="BA23" i="31"/>
  <c r="U71" i="31"/>
  <c r="V24" i="31"/>
  <c r="DM18" i="31" s="1"/>
  <c r="U24" i="31"/>
  <c r="C90" i="33"/>
  <c r="AX57" i="31" s="1"/>
  <c r="Y57" i="33"/>
  <c r="DH8" i="31"/>
  <c r="BA24" i="31"/>
  <c r="BB70" i="31"/>
  <c r="H8" i="31"/>
  <c r="DD8" i="31"/>
  <c r="X70" i="31"/>
  <c r="W70" i="31"/>
  <c r="X23" i="31"/>
  <c r="W23" i="31"/>
  <c r="C90" i="34"/>
  <c r="O57" i="34"/>
  <c r="G57" i="34"/>
  <c r="F57" i="34"/>
  <c r="N57" i="34"/>
  <c r="F58" i="33"/>
  <c r="AY26" i="31"/>
  <c r="N58" i="33"/>
  <c r="Y56" i="34" l="1"/>
  <c r="AE6" i="34"/>
  <c r="AG60" i="34"/>
  <c r="AE6" i="33"/>
  <c r="AG60" i="33"/>
  <c r="BA71" i="31"/>
  <c r="BA72" i="31" s="1"/>
  <c r="T57" i="31"/>
  <c r="AE14" i="50"/>
  <c r="AE28" i="50"/>
  <c r="O57" i="33"/>
  <c r="AZ24" i="31"/>
  <c r="AI14" i="50"/>
  <c r="AI28" i="50"/>
  <c r="DQ17" i="31"/>
  <c r="AZ71" i="31"/>
  <c r="V72" i="31"/>
  <c r="U72" i="31"/>
  <c r="V25" i="31"/>
  <c r="DM19" i="31" s="1"/>
  <c r="U25" i="31"/>
  <c r="BB71" i="31"/>
  <c r="Y58" i="33"/>
  <c r="AY74" i="31"/>
  <c r="BB24" i="31"/>
  <c r="BA25" i="31"/>
  <c r="X24" i="31"/>
  <c r="W24" i="31"/>
  <c r="W71" i="31"/>
  <c r="X71" i="31"/>
  <c r="N58" i="34"/>
  <c r="F58" i="34"/>
  <c r="O58" i="34"/>
  <c r="G58" i="34"/>
  <c r="N59" i="33"/>
  <c r="F59" i="33"/>
  <c r="AY27" i="31"/>
  <c r="O58" i="33"/>
  <c r="G58" i="33"/>
  <c r="AY2" i="31" l="1"/>
  <c r="BE27" i="31"/>
  <c r="Y57" i="34"/>
  <c r="AG6" i="34"/>
  <c r="E60" i="34"/>
  <c r="AG6" i="33"/>
  <c r="E60" i="33"/>
  <c r="U73" i="31"/>
  <c r="AE29" i="50"/>
  <c r="AE16" i="50"/>
  <c r="AI16" i="50"/>
  <c r="AI29" i="50"/>
  <c r="DQ18" i="31"/>
  <c r="AZ72" i="31"/>
  <c r="O59" i="33"/>
  <c r="AZ25" i="31"/>
  <c r="V73" i="31"/>
  <c r="V26" i="31"/>
  <c r="DM20" i="31" s="1"/>
  <c r="U26" i="31"/>
  <c r="Y59" i="33"/>
  <c r="X72" i="31"/>
  <c r="W72" i="31"/>
  <c r="BA73" i="31"/>
  <c r="BA26" i="31"/>
  <c r="AY75" i="31"/>
  <c r="BB72" i="31"/>
  <c r="BB25" i="31"/>
  <c r="AY9" i="31"/>
  <c r="W25" i="31"/>
  <c r="X25" i="31"/>
  <c r="F59" i="34"/>
  <c r="N59" i="34"/>
  <c r="O59" i="34"/>
  <c r="G59" i="34"/>
  <c r="D61" i="33"/>
  <c r="AY28" i="31" s="1"/>
  <c r="N60" i="33"/>
  <c r="Q60" i="33" s="1"/>
  <c r="F60" i="33"/>
  <c r="U74" i="31" l="1"/>
  <c r="Y58" i="34"/>
  <c r="G59" i="33"/>
  <c r="DQ19" i="31"/>
  <c r="AZ73" i="31"/>
  <c r="AZ27" i="31"/>
  <c r="DQ21" i="31" s="1"/>
  <c r="AZ26" i="31"/>
  <c r="V74" i="31"/>
  <c r="V27" i="31"/>
  <c r="V2" i="31" s="1"/>
  <c r="U27" i="31"/>
  <c r="W73" i="31"/>
  <c r="X73" i="31"/>
  <c r="BA74" i="31"/>
  <c r="Y60" i="33"/>
  <c r="BB73" i="31"/>
  <c r="AY4" i="31"/>
  <c r="AY76" i="31"/>
  <c r="BA27" i="31"/>
  <c r="CG4" i="31" s="1"/>
  <c r="CG2" i="31" s="1"/>
  <c r="W26" i="31"/>
  <c r="X26" i="31"/>
  <c r="E61" i="34"/>
  <c r="O60" i="34"/>
  <c r="R60" i="34" s="1"/>
  <c r="G60" i="34"/>
  <c r="F60" i="34"/>
  <c r="E61" i="33"/>
  <c r="AZ28" i="31" s="1"/>
  <c r="DQ22" i="31" s="1"/>
  <c r="N61" i="33"/>
  <c r="F61" i="33"/>
  <c r="D62" i="33"/>
  <c r="AY29" i="31" s="1"/>
  <c r="U2" i="31" l="1"/>
  <c r="AA27" i="31"/>
  <c r="Y59" i="34"/>
  <c r="BB26" i="31"/>
  <c r="BB74" i="31" s="1"/>
  <c r="V9" i="31"/>
  <c r="V4" i="31" s="1"/>
  <c r="DM21" i="31"/>
  <c r="AZ9" i="31"/>
  <c r="AZ4" i="31" s="1"/>
  <c r="G60" i="33"/>
  <c r="O60" i="33"/>
  <c r="R60" i="33" s="1"/>
  <c r="DQ20" i="31"/>
  <c r="AZ74" i="31"/>
  <c r="AZ75" i="31" s="1"/>
  <c r="AZ76" i="31" s="1"/>
  <c r="V75" i="31"/>
  <c r="U75" i="31"/>
  <c r="U9" i="31"/>
  <c r="U4" i="31" s="1"/>
  <c r="V28" i="31"/>
  <c r="DM22" i="31" s="1"/>
  <c r="U28" i="31"/>
  <c r="X74" i="31"/>
  <c r="AY77" i="31"/>
  <c r="BA28" i="31"/>
  <c r="BA9" i="31"/>
  <c r="BA75" i="31"/>
  <c r="X27" i="31"/>
  <c r="X9" i="31" s="1"/>
  <c r="W74" i="31"/>
  <c r="W27" i="31"/>
  <c r="CC4" i="31" s="1"/>
  <c r="CC2" i="31" s="1"/>
  <c r="O61" i="34"/>
  <c r="G61" i="34"/>
  <c r="E62" i="34"/>
  <c r="N61" i="34"/>
  <c r="F61" i="34"/>
  <c r="D62" i="34"/>
  <c r="O61" i="33"/>
  <c r="G61" i="33"/>
  <c r="BB28" i="31" s="1"/>
  <c r="E62" i="33"/>
  <c r="AZ29" i="31" s="1"/>
  <c r="DQ23" i="31" s="1"/>
  <c r="N62" i="33"/>
  <c r="F62" i="33"/>
  <c r="D63" i="33"/>
  <c r="AY30" i="31" s="1"/>
  <c r="Y60" i="34" l="1"/>
  <c r="BB27" i="31"/>
  <c r="BB9" i="31" s="1"/>
  <c r="BB4" i="31" s="1"/>
  <c r="V76" i="31"/>
  <c r="U76" i="31"/>
  <c r="X28" i="31"/>
  <c r="V29" i="31"/>
  <c r="DM23" i="31" s="1"/>
  <c r="U29" i="31"/>
  <c r="U77" i="31" s="1"/>
  <c r="AY78" i="31"/>
  <c r="BA29" i="31"/>
  <c r="AZ77" i="31"/>
  <c r="BA76" i="31"/>
  <c r="BA4" i="31"/>
  <c r="X4" i="31"/>
  <c r="W9" i="31"/>
  <c r="W75" i="31"/>
  <c r="W28" i="31"/>
  <c r="X75" i="31"/>
  <c r="E63" i="34"/>
  <c r="O62" i="34"/>
  <c r="G62" i="34"/>
  <c r="N62" i="34"/>
  <c r="F62" i="34"/>
  <c r="D63" i="34"/>
  <c r="O62" i="33"/>
  <c r="G62" i="33"/>
  <c r="BB29" i="31" s="1"/>
  <c r="E63" i="33"/>
  <c r="AZ30" i="31" s="1"/>
  <c r="DQ24" i="31" s="1"/>
  <c r="N63" i="33"/>
  <c r="F63" i="33"/>
  <c r="D64" i="33"/>
  <c r="AY31" i="31" s="1"/>
  <c r="BB75" i="31" l="1"/>
  <c r="BB76" i="31" s="1"/>
  <c r="BB77" i="31" s="1"/>
  <c r="DH9" i="31"/>
  <c r="DH12" i="31" s="1"/>
  <c r="X76" i="31"/>
  <c r="V77" i="31"/>
  <c r="X29" i="31"/>
  <c r="V30" i="31"/>
  <c r="DM24" i="31" s="1"/>
  <c r="U30" i="31"/>
  <c r="U78" i="31" s="1"/>
  <c r="W76" i="31"/>
  <c r="AZ78" i="31"/>
  <c r="BA30" i="31"/>
  <c r="AY79" i="31"/>
  <c r="BA77" i="31"/>
  <c r="H9" i="31"/>
  <c r="DD9" i="31"/>
  <c r="DD12" i="31" s="1"/>
  <c r="CH4" i="31"/>
  <c r="CH2" i="31" s="1"/>
  <c r="W29" i="31"/>
  <c r="W4" i="31"/>
  <c r="E64" i="34"/>
  <c r="G63" i="34"/>
  <c r="O63" i="34"/>
  <c r="N63" i="34"/>
  <c r="F63" i="34"/>
  <c r="D64" i="34"/>
  <c r="N64" i="33"/>
  <c r="F64" i="33"/>
  <c r="D65" i="33"/>
  <c r="AY32" i="31" s="1"/>
  <c r="AY10" i="31" s="1"/>
  <c r="AY5" i="31" s="1"/>
  <c r="O63" i="33"/>
  <c r="G63" i="33"/>
  <c r="BB30" i="31" s="1"/>
  <c r="E64" i="33"/>
  <c r="AZ31" i="31" s="1"/>
  <c r="DQ25" i="31" s="1"/>
  <c r="X77" i="31" l="1"/>
  <c r="V78" i="31"/>
  <c r="X30" i="31"/>
  <c r="V31" i="31"/>
  <c r="DM25" i="31" s="1"/>
  <c r="U31" i="31"/>
  <c r="U79" i="31" s="1"/>
  <c r="W77" i="31"/>
  <c r="BA78" i="31"/>
  <c r="BB78" i="31"/>
  <c r="AZ79" i="31"/>
  <c r="BA31" i="31"/>
  <c r="AY80" i="31"/>
  <c r="W30" i="31"/>
  <c r="E65" i="34"/>
  <c r="O64" i="34"/>
  <c r="G64" i="34"/>
  <c r="N64" i="34"/>
  <c r="F64" i="34"/>
  <c r="D65" i="34"/>
  <c r="N65" i="33"/>
  <c r="F65" i="33"/>
  <c r="D66" i="33"/>
  <c r="AY33" i="31" s="1"/>
  <c r="CG5" i="31"/>
  <c r="O64" i="33"/>
  <c r="G64" i="33"/>
  <c r="BB31" i="31" s="1"/>
  <c r="E65" i="33"/>
  <c r="AZ32" i="31" s="1"/>
  <c r="X78" i="31" l="1"/>
  <c r="V79" i="31"/>
  <c r="X31" i="31"/>
  <c r="V32" i="31"/>
  <c r="DM26" i="31" s="1"/>
  <c r="U32" i="31"/>
  <c r="U10" i="31" s="1"/>
  <c r="U5" i="31" s="1"/>
  <c r="AZ10" i="31"/>
  <c r="AZ5" i="31" s="1"/>
  <c r="DQ26" i="31"/>
  <c r="BA79" i="31"/>
  <c r="BB79" i="31"/>
  <c r="AY81" i="31"/>
  <c r="AZ80" i="31"/>
  <c r="BA32" i="31"/>
  <c r="BA10" i="31" s="1"/>
  <c r="W31" i="31"/>
  <c r="W78" i="31"/>
  <c r="N65" i="34"/>
  <c r="F65" i="34"/>
  <c r="D66" i="34"/>
  <c r="E66" i="34"/>
  <c r="G65" i="34"/>
  <c r="O65" i="34"/>
  <c r="N66" i="33"/>
  <c r="F66" i="33"/>
  <c r="D67" i="33"/>
  <c r="AY34" i="31" s="1"/>
  <c r="O65" i="33"/>
  <c r="G65" i="33"/>
  <c r="E66" i="33"/>
  <c r="AZ33" i="31" s="1"/>
  <c r="DQ27" i="31" s="1"/>
  <c r="X79" i="31" l="1"/>
  <c r="V80" i="31"/>
  <c r="U80" i="31"/>
  <c r="V10" i="31"/>
  <c r="V5" i="31" s="1"/>
  <c r="V33" i="31"/>
  <c r="DM27" i="31" s="1"/>
  <c r="U33" i="31"/>
  <c r="U81" i="31" s="1"/>
  <c r="BA80" i="31"/>
  <c r="BB32" i="31"/>
  <c r="BB10" i="31" s="1"/>
  <c r="BB5" i="31" s="1"/>
  <c r="BA5" i="31"/>
  <c r="AZ81" i="31"/>
  <c r="BA33" i="31"/>
  <c r="AY82" i="31"/>
  <c r="W79" i="31"/>
  <c r="CC5" i="31"/>
  <c r="X32" i="31"/>
  <c r="X10" i="31" s="1"/>
  <c r="W32" i="31"/>
  <c r="W10" i="31" s="1"/>
  <c r="E67" i="34"/>
  <c r="O66" i="34"/>
  <c r="G66" i="34"/>
  <c r="N66" i="34"/>
  <c r="F66" i="34"/>
  <c r="D67" i="34"/>
  <c r="O66" i="33"/>
  <c r="G66" i="33"/>
  <c r="BB33" i="31" s="1"/>
  <c r="E67" i="33"/>
  <c r="AZ34" i="31" s="1"/>
  <c r="DQ28" i="31" s="1"/>
  <c r="N67" i="33"/>
  <c r="F67" i="33"/>
  <c r="D68" i="33"/>
  <c r="AY35" i="31" s="1"/>
  <c r="CH5" i="31"/>
  <c r="V81" i="31" l="1"/>
  <c r="V34" i="31"/>
  <c r="DM28" i="31" s="1"/>
  <c r="X33" i="31"/>
  <c r="U34" i="31"/>
  <c r="U82" i="31" s="1"/>
  <c r="DH10" i="31"/>
  <c r="DH13" i="31" s="1"/>
  <c r="AY83" i="31"/>
  <c r="BA34" i="31"/>
  <c r="BA81" i="31"/>
  <c r="AZ82" i="31"/>
  <c r="BB80" i="31"/>
  <c r="BB81" i="31" s="1"/>
  <c r="W5" i="31"/>
  <c r="DD10" i="31"/>
  <c r="DD13" i="31" s="1"/>
  <c r="H10" i="31"/>
  <c r="W33" i="31"/>
  <c r="W80" i="31"/>
  <c r="X5" i="31"/>
  <c r="X80" i="31"/>
  <c r="F67" i="34"/>
  <c r="N67" i="34"/>
  <c r="D68" i="34"/>
  <c r="O67" i="34"/>
  <c r="G67" i="34"/>
  <c r="E68" i="34"/>
  <c r="N68" i="33"/>
  <c r="F68" i="33"/>
  <c r="D69" i="33"/>
  <c r="AY36" i="31" s="1"/>
  <c r="O67" i="33"/>
  <c r="G67" i="33"/>
  <c r="BB34" i="31" s="1"/>
  <c r="E68" i="33"/>
  <c r="AZ35" i="31" s="1"/>
  <c r="DQ29" i="31" s="1"/>
  <c r="X81" i="31" l="1"/>
  <c r="V82" i="31"/>
  <c r="X34" i="31"/>
  <c r="V35" i="31"/>
  <c r="DM29" i="31" s="1"/>
  <c r="U35" i="31"/>
  <c r="U83" i="31" s="1"/>
  <c r="BA82" i="31"/>
  <c r="AZ83" i="31"/>
  <c r="BA35" i="31"/>
  <c r="AY84" i="31"/>
  <c r="BB82" i="31"/>
  <c r="W81" i="31"/>
  <c r="W34" i="31"/>
  <c r="D69" i="34"/>
  <c r="F68" i="34"/>
  <c r="N68" i="34"/>
  <c r="E69" i="34"/>
  <c r="G68" i="34"/>
  <c r="O68" i="34"/>
  <c r="O68" i="33"/>
  <c r="G68" i="33"/>
  <c r="BB35" i="31" s="1"/>
  <c r="E69" i="33"/>
  <c r="AZ36" i="31" s="1"/>
  <c r="DQ30" i="31" s="1"/>
  <c r="N69" i="33"/>
  <c r="F69" i="33"/>
  <c r="D70" i="33"/>
  <c r="AY37" i="31" s="1"/>
  <c r="X82" i="31" l="1"/>
  <c r="V83" i="31"/>
  <c r="V36" i="31"/>
  <c r="DM30" i="31" s="1"/>
  <c r="X35" i="31"/>
  <c r="U36" i="31"/>
  <c r="U84" i="31" s="1"/>
  <c r="BA83" i="31"/>
  <c r="BB83" i="31"/>
  <c r="W82" i="31"/>
  <c r="BA36" i="31"/>
  <c r="AZ84" i="31"/>
  <c r="AY85" i="31"/>
  <c r="W35" i="31"/>
  <c r="N69" i="34"/>
  <c r="D70" i="34"/>
  <c r="F69" i="34"/>
  <c r="O69" i="34"/>
  <c r="G69" i="34"/>
  <c r="E70" i="34"/>
  <c r="O69" i="33"/>
  <c r="G69" i="33"/>
  <c r="BB36" i="31" s="1"/>
  <c r="E70" i="33"/>
  <c r="AZ37" i="31" s="1"/>
  <c r="DQ31" i="31" s="1"/>
  <c r="N70" i="33"/>
  <c r="Q70" i="33" s="1"/>
  <c r="F70" i="33"/>
  <c r="D71" i="33"/>
  <c r="AY38" i="31" s="1"/>
  <c r="X83" i="31" l="1"/>
  <c r="BA84" i="31"/>
  <c r="V84" i="31"/>
  <c r="V37" i="31"/>
  <c r="DM31" i="31" s="1"/>
  <c r="X36" i="31"/>
  <c r="X84" i="31" s="1"/>
  <c r="U37" i="31"/>
  <c r="U85" i="31" s="1"/>
  <c r="BB84" i="31"/>
  <c r="W83" i="31"/>
  <c r="BA37" i="31"/>
  <c r="AY86" i="31"/>
  <c r="AZ85" i="31"/>
  <c r="W36" i="31"/>
  <c r="E71" i="34"/>
  <c r="G70" i="34"/>
  <c r="O70" i="34"/>
  <c r="R70" i="34" s="1"/>
  <c r="D71" i="34"/>
  <c r="F70" i="34"/>
  <c r="N70" i="34"/>
  <c r="N71" i="33"/>
  <c r="F71" i="33"/>
  <c r="D72" i="33"/>
  <c r="AY39" i="31" s="1"/>
  <c r="O70" i="33"/>
  <c r="R70" i="33" s="1"/>
  <c r="G70" i="33"/>
  <c r="BB37" i="31" s="1"/>
  <c r="E71" i="33"/>
  <c r="AZ38" i="31" s="1"/>
  <c r="DQ32" i="31" s="1"/>
  <c r="BA85" i="31" l="1"/>
  <c r="BB85" i="31"/>
  <c r="V85" i="31"/>
  <c r="X37" i="31"/>
  <c r="X85" i="31" s="1"/>
  <c r="V38" i="31"/>
  <c r="DM32" i="31" s="1"/>
  <c r="U38" i="31"/>
  <c r="U86" i="31" s="1"/>
  <c r="W84" i="31"/>
  <c r="Q70" i="34"/>
  <c r="AY87" i="31"/>
  <c r="BA38" i="31"/>
  <c r="AZ86" i="31"/>
  <c r="W37" i="31"/>
  <c r="E72" i="34"/>
  <c r="O71" i="34"/>
  <c r="G71" i="34"/>
  <c r="N71" i="34"/>
  <c r="F71" i="34"/>
  <c r="D72" i="34"/>
  <c r="E72" i="33"/>
  <c r="AZ39" i="31" s="1"/>
  <c r="DQ33" i="31" s="1"/>
  <c r="O71" i="33"/>
  <c r="G71" i="33"/>
  <c r="BB38" i="31" s="1"/>
  <c r="N72" i="33"/>
  <c r="F72" i="33"/>
  <c r="D73" i="33"/>
  <c r="AY40" i="31" s="1"/>
  <c r="BA86" i="31" l="1"/>
  <c r="BB86" i="31"/>
  <c r="V86" i="31"/>
  <c r="V39" i="31"/>
  <c r="DM33" i="31" s="1"/>
  <c r="X38" i="31"/>
  <c r="X86" i="31" s="1"/>
  <c r="U39" i="31"/>
  <c r="U87" i="31" s="1"/>
  <c r="AY88" i="31"/>
  <c r="BA39" i="31"/>
  <c r="BA87" i="31" s="1"/>
  <c r="AZ87" i="31"/>
  <c r="W38" i="31"/>
  <c r="W85" i="31"/>
  <c r="E73" i="34"/>
  <c r="G72" i="34"/>
  <c r="O72" i="34"/>
  <c r="D73" i="34"/>
  <c r="F72" i="34"/>
  <c r="N72" i="34"/>
  <c r="E73" i="33"/>
  <c r="AZ40" i="31" s="1"/>
  <c r="DQ34" i="31" s="1"/>
  <c r="G72" i="33"/>
  <c r="BB39" i="31" s="1"/>
  <c r="BB87" i="31" s="1"/>
  <c r="O72" i="33"/>
  <c r="N73" i="33"/>
  <c r="F73" i="33"/>
  <c r="D74" i="33"/>
  <c r="AY41" i="31" s="1"/>
  <c r="V87" i="31" l="1"/>
  <c r="X39" i="31"/>
  <c r="X87" i="31" s="1"/>
  <c r="V40" i="31"/>
  <c r="DM34" i="31" s="1"/>
  <c r="U40" i="31"/>
  <c r="U88" i="31" s="1"/>
  <c r="AY89" i="31"/>
  <c r="BA40" i="31"/>
  <c r="BA88" i="31" s="1"/>
  <c r="AZ88" i="31"/>
  <c r="W86" i="31"/>
  <c r="W39" i="31"/>
  <c r="E74" i="34"/>
  <c r="G73" i="34"/>
  <c r="O73" i="34"/>
  <c r="D74" i="34"/>
  <c r="F73" i="34"/>
  <c r="N73" i="34"/>
  <c r="E74" i="33"/>
  <c r="AZ41" i="31" s="1"/>
  <c r="DQ35" i="31" s="1"/>
  <c r="O73" i="33"/>
  <c r="G73" i="33"/>
  <c r="BB40" i="31" s="1"/>
  <c r="BB88" i="31" s="1"/>
  <c r="N74" i="33"/>
  <c r="F74" i="33"/>
  <c r="D75" i="33"/>
  <c r="AY42" i="31" s="1"/>
  <c r="AY90" i="31" l="1"/>
  <c r="V88" i="31"/>
  <c r="V41" i="31"/>
  <c r="DM35" i="31" s="1"/>
  <c r="X40" i="31"/>
  <c r="X88" i="31" s="1"/>
  <c r="U41" i="31"/>
  <c r="U89" i="31" s="1"/>
  <c r="AZ89" i="31"/>
  <c r="BA41" i="31"/>
  <c r="BA89" i="31" s="1"/>
  <c r="W87" i="31"/>
  <c r="W40" i="31"/>
  <c r="D75" i="34"/>
  <c r="F74" i="34"/>
  <c r="N74" i="34"/>
  <c r="E75" i="34"/>
  <c r="O74" i="34"/>
  <c r="G74" i="34"/>
  <c r="E75" i="33"/>
  <c r="AZ42" i="31" s="1"/>
  <c r="O74" i="33"/>
  <c r="G74" i="33"/>
  <c r="BB41" i="31" s="1"/>
  <c r="BB89" i="31" s="1"/>
  <c r="N75" i="33"/>
  <c r="F75" i="33"/>
  <c r="D76" i="33"/>
  <c r="AY43" i="31" s="1"/>
  <c r="AY91" i="31" s="1"/>
  <c r="V89" i="31" l="1"/>
  <c r="V42" i="31"/>
  <c r="X41" i="31"/>
  <c r="X89" i="31" s="1"/>
  <c r="U42" i="31"/>
  <c r="U90" i="31" s="1"/>
  <c r="AZ90" i="31"/>
  <c r="DQ36" i="31"/>
  <c r="W88" i="31"/>
  <c r="BA42" i="31"/>
  <c r="BA90" i="31" s="1"/>
  <c r="W41" i="31"/>
  <c r="E76" i="34"/>
  <c r="G75" i="34"/>
  <c r="O75" i="34"/>
  <c r="D76" i="34"/>
  <c r="F75" i="34"/>
  <c r="N75" i="34"/>
  <c r="N76" i="33"/>
  <c r="F76" i="33"/>
  <c r="D77" i="33"/>
  <c r="AY44" i="31" s="1"/>
  <c r="AY92" i="31" s="1"/>
  <c r="E76" i="33"/>
  <c r="AZ43" i="31" s="1"/>
  <c r="O75" i="33"/>
  <c r="G75" i="33"/>
  <c r="BB42" i="31" s="1"/>
  <c r="BB90" i="31" s="1"/>
  <c r="V90" i="31" l="1"/>
  <c r="DM36" i="31"/>
  <c r="X42" i="31"/>
  <c r="X90" i="31" s="1"/>
  <c r="V43" i="31"/>
  <c r="U43" i="31"/>
  <c r="U91" i="31" s="1"/>
  <c r="AZ91" i="31"/>
  <c r="DQ37" i="31"/>
  <c r="W89" i="31"/>
  <c r="BA43" i="31"/>
  <c r="BA91" i="31" s="1"/>
  <c r="W42" i="31"/>
  <c r="D77" i="34"/>
  <c r="F76" i="34"/>
  <c r="N76" i="34"/>
  <c r="E77" i="34"/>
  <c r="O76" i="34"/>
  <c r="G76" i="34"/>
  <c r="E77" i="33"/>
  <c r="AZ44" i="31" s="1"/>
  <c r="G76" i="33"/>
  <c r="BB43" i="31" s="1"/>
  <c r="BB91" i="31" s="1"/>
  <c r="O76" i="33"/>
  <c r="N77" i="33"/>
  <c r="F77" i="33"/>
  <c r="D78" i="33"/>
  <c r="AY45" i="31" s="1"/>
  <c r="AY93" i="31" s="1"/>
  <c r="V91" i="31" l="1"/>
  <c r="DM37" i="31"/>
  <c r="V44" i="31"/>
  <c r="DM38" i="31" s="1"/>
  <c r="X43" i="31"/>
  <c r="X91" i="31" s="1"/>
  <c r="U44" i="31"/>
  <c r="U92" i="31" s="1"/>
  <c r="W90" i="31"/>
  <c r="AZ92" i="31"/>
  <c r="DQ38" i="31"/>
  <c r="BA44" i="31"/>
  <c r="BA92" i="31" s="1"/>
  <c r="W43" i="31"/>
  <c r="E78" i="34"/>
  <c r="G77" i="34"/>
  <c r="O77" i="34"/>
  <c r="D78" i="34"/>
  <c r="F77" i="34"/>
  <c r="N77" i="34"/>
  <c r="E78" i="33"/>
  <c r="AZ45" i="31" s="1"/>
  <c r="O77" i="33"/>
  <c r="G77" i="33"/>
  <c r="BB44" i="31" s="1"/>
  <c r="BB92" i="31" s="1"/>
  <c r="N78" i="33"/>
  <c r="F78" i="33"/>
  <c r="D79" i="33"/>
  <c r="AY46" i="31" s="1"/>
  <c r="AY94" i="31" s="1"/>
  <c r="V92" i="31" l="1"/>
  <c r="X44" i="31"/>
  <c r="X92" i="31" s="1"/>
  <c r="V45" i="31"/>
  <c r="DM39" i="31" s="1"/>
  <c r="U45" i="31"/>
  <c r="U93" i="31" s="1"/>
  <c r="W91" i="31"/>
  <c r="AZ93" i="31"/>
  <c r="DQ39" i="31"/>
  <c r="BA45" i="31"/>
  <c r="BA93" i="31" s="1"/>
  <c r="W44" i="31"/>
  <c r="O78" i="34"/>
  <c r="E79" i="34"/>
  <c r="G78" i="34"/>
  <c r="D79" i="34"/>
  <c r="F78" i="34"/>
  <c r="N78" i="34"/>
  <c r="E79" i="33"/>
  <c r="AZ46" i="31" s="1"/>
  <c r="O78" i="33"/>
  <c r="G78" i="33"/>
  <c r="BB45" i="31" s="1"/>
  <c r="BB93" i="31" s="1"/>
  <c r="D80" i="33"/>
  <c r="AY47" i="31" s="1"/>
  <c r="N79" i="33"/>
  <c r="F79" i="33"/>
  <c r="V93" i="31" l="1"/>
  <c r="X45" i="31"/>
  <c r="X93" i="31" s="1"/>
  <c r="V46" i="31"/>
  <c r="U46" i="31"/>
  <c r="U94" i="31" s="1"/>
  <c r="W92" i="31"/>
  <c r="AZ94" i="31"/>
  <c r="DQ40" i="31"/>
  <c r="A82" i="33"/>
  <c r="BA46" i="31"/>
  <c r="BA94" i="31" s="1"/>
  <c r="AY3" i="31"/>
  <c r="AY12" i="31"/>
  <c r="AY11" i="31"/>
  <c r="AY95" i="31"/>
  <c r="W45" i="31"/>
  <c r="D80" i="34"/>
  <c r="F79" i="34"/>
  <c r="N79" i="34"/>
  <c r="O79" i="34"/>
  <c r="E80" i="34"/>
  <c r="G79" i="34"/>
  <c r="O79" i="33"/>
  <c r="G79" i="33"/>
  <c r="BB46" i="31" s="1"/>
  <c r="BB94" i="31" s="1"/>
  <c r="E80" i="33"/>
  <c r="AZ47" i="31" s="1"/>
  <c r="DQ41" i="31" s="1"/>
  <c r="D81" i="33"/>
  <c r="AY48" i="31" s="1"/>
  <c r="N80" i="33"/>
  <c r="Q80" i="33" s="1"/>
  <c r="F80" i="33"/>
  <c r="V94" i="31" l="1"/>
  <c r="DM40" i="31"/>
  <c r="V47" i="31"/>
  <c r="DM41" i="31" s="1"/>
  <c r="U47" i="31"/>
  <c r="U3" i="31" s="1"/>
  <c r="X46" i="31"/>
  <c r="X94" i="31" s="1"/>
  <c r="G80" i="34"/>
  <c r="W93" i="31"/>
  <c r="DQ7" i="31"/>
  <c r="AZ12" i="31"/>
  <c r="AZ11" i="31"/>
  <c r="BA47" i="31"/>
  <c r="AZ95" i="31"/>
  <c r="A82" i="34"/>
  <c r="W46" i="31"/>
  <c r="E81" i="34"/>
  <c r="O80" i="34"/>
  <c r="R80" i="34" s="1"/>
  <c r="D81" i="34"/>
  <c r="N80" i="34"/>
  <c r="F80" i="34"/>
  <c r="D82" i="33"/>
  <c r="AY49" i="31" s="1"/>
  <c r="F81" i="33"/>
  <c r="BA48" i="31" s="1"/>
  <c r="N81" i="33"/>
  <c r="O80" i="33"/>
  <c r="R80" i="33" s="1"/>
  <c r="G80" i="33"/>
  <c r="E81" i="33"/>
  <c r="AZ48" i="31" s="1"/>
  <c r="DQ42" i="31" s="1"/>
  <c r="V3" i="31" l="1"/>
  <c r="V11" i="31"/>
  <c r="V95" i="31"/>
  <c r="V12" i="31"/>
  <c r="DM7" i="31"/>
  <c r="U12" i="31"/>
  <c r="U95" i="31"/>
  <c r="U11" i="31"/>
  <c r="G81" i="34"/>
  <c r="X47" i="31"/>
  <c r="X12" i="31" s="1"/>
  <c r="V48" i="31"/>
  <c r="DM42" i="31" s="1"/>
  <c r="Q80" i="34"/>
  <c r="U48" i="31"/>
  <c r="BB47" i="31"/>
  <c r="BB95" i="31" s="1"/>
  <c r="CG39" i="31" s="1"/>
  <c r="G81" i="33"/>
  <c r="W94" i="31"/>
  <c r="BA12" i="31"/>
  <c r="BA11" i="31"/>
  <c r="BA95" i="31"/>
  <c r="CG38" i="31" s="1"/>
  <c r="W47" i="31"/>
  <c r="N81" i="34"/>
  <c r="F81" i="34"/>
  <c r="D82" i="34"/>
  <c r="O81" i="34"/>
  <c r="E82" i="34"/>
  <c r="A83" i="34"/>
  <c r="A80" i="34" s="1"/>
  <c r="A79" i="34" s="1"/>
  <c r="U61" i="34" s="1"/>
  <c r="A83" i="33"/>
  <c r="A80" i="33" s="1"/>
  <c r="A79" i="33" s="1"/>
  <c r="U61" i="33" s="1"/>
  <c r="E82" i="33"/>
  <c r="AZ49" i="31" s="1"/>
  <c r="DQ43" i="31" s="1"/>
  <c r="O81" i="33"/>
  <c r="N82" i="33"/>
  <c r="D83" i="33"/>
  <c r="AY50" i="31" s="1"/>
  <c r="F82" i="33"/>
  <c r="BA49" i="31" s="1"/>
  <c r="X48" i="31" l="1"/>
  <c r="G82" i="34"/>
  <c r="X95" i="31"/>
  <c r="CC39" i="31" s="1"/>
  <c r="X11" i="31"/>
  <c r="V49" i="31"/>
  <c r="DM43" i="31" s="1"/>
  <c r="W48" i="31"/>
  <c r="U49" i="31"/>
  <c r="V61" i="33"/>
  <c r="U62" i="33"/>
  <c r="BB11" i="31"/>
  <c r="BB12" i="31"/>
  <c r="G82" i="33"/>
  <c r="BB48" i="31"/>
  <c r="U62" i="34"/>
  <c r="V61" i="34"/>
  <c r="W12" i="31"/>
  <c r="H12" i="31" s="1"/>
  <c r="W11" i="31"/>
  <c r="W95" i="31"/>
  <c r="CC38" i="31" s="1"/>
  <c r="AB28" i="31"/>
  <c r="BF28" i="31"/>
  <c r="N82" i="34"/>
  <c r="D83" i="34"/>
  <c r="F82" i="34"/>
  <c r="E83" i="34"/>
  <c r="O82" i="34"/>
  <c r="H81" i="34"/>
  <c r="O82" i="33"/>
  <c r="E83" i="33"/>
  <c r="AZ50" i="31" s="1"/>
  <c r="DQ44" i="31" s="1"/>
  <c r="N83" i="33"/>
  <c r="D84" i="33"/>
  <c r="AY51" i="31" s="1"/>
  <c r="F83" i="33"/>
  <c r="BA50" i="31" s="1"/>
  <c r="G83" i="34" l="1"/>
  <c r="X49" i="31"/>
  <c r="H11" i="31"/>
  <c r="V50" i="31"/>
  <c r="DM44" i="31" s="1"/>
  <c r="Y48" i="31"/>
  <c r="B48" i="31" s="1"/>
  <c r="W49" i="31"/>
  <c r="U50" i="31"/>
  <c r="G83" i="33"/>
  <c r="BB49" i="31"/>
  <c r="U63" i="33"/>
  <c r="V62" i="33"/>
  <c r="U63" i="34"/>
  <c r="V62" i="34"/>
  <c r="AB76" i="31"/>
  <c r="DT22" i="31"/>
  <c r="EA22" i="31" s="1"/>
  <c r="BF76" i="31"/>
  <c r="DX22" i="31"/>
  <c r="EE22" i="31" s="1"/>
  <c r="CC6" i="31"/>
  <c r="AB29" i="31"/>
  <c r="BF29" i="31"/>
  <c r="H82" i="34"/>
  <c r="O83" i="34"/>
  <c r="E84" i="34"/>
  <c r="D84" i="34"/>
  <c r="F83" i="34"/>
  <c r="N83" i="34"/>
  <c r="O83" i="33"/>
  <c r="E84" i="33"/>
  <c r="AZ51" i="31" s="1"/>
  <c r="DQ45" i="31" s="1"/>
  <c r="N84" i="33"/>
  <c r="F84" i="33"/>
  <c r="BA51" i="31" s="1"/>
  <c r="D85" i="33"/>
  <c r="AY52" i="31" s="1"/>
  <c r="X50" i="31" l="1"/>
  <c r="G84" i="34"/>
  <c r="V51" i="31"/>
  <c r="DM45" i="31" s="1"/>
  <c r="W50" i="31"/>
  <c r="U51" i="31"/>
  <c r="Y49" i="31"/>
  <c r="B49" i="31" s="1"/>
  <c r="X51" i="31"/>
  <c r="EL22" i="31"/>
  <c r="U64" i="33"/>
  <c r="V63" i="33"/>
  <c r="BB50" i="31"/>
  <c r="G84" i="33"/>
  <c r="EH22" i="31"/>
  <c r="U64" i="34"/>
  <c r="V63" i="34"/>
  <c r="BF77" i="31"/>
  <c r="DX23" i="31"/>
  <c r="EE23" i="31" s="1"/>
  <c r="AB77" i="31"/>
  <c r="DT23" i="31"/>
  <c r="EA23" i="31" s="1"/>
  <c r="H83" i="34"/>
  <c r="BF30" i="31"/>
  <c r="AB30" i="31"/>
  <c r="N84" i="34"/>
  <c r="F84" i="34"/>
  <c r="D85" i="34"/>
  <c r="E85" i="34"/>
  <c r="O84" i="34"/>
  <c r="D86" i="33"/>
  <c r="AY53" i="31" s="1"/>
  <c r="F85" i="33"/>
  <c r="BA52" i="31" s="1"/>
  <c r="N85" i="33"/>
  <c r="E85" i="33"/>
  <c r="AZ52" i="31" s="1"/>
  <c r="DQ46" i="31" s="1"/>
  <c r="O84" i="33"/>
  <c r="G85" i="34" l="1"/>
  <c r="V52" i="31"/>
  <c r="DM46" i="31" s="1"/>
  <c r="U52" i="31"/>
  <c r="W51" i="31"/>
  <c r="Y50" i="31"/>
  <c r="B50" i="31" s="1"/>
  <c r="X52" i="31"/>
  <c r="G85" i="33"/>
  <c r="BB51" i="31"/>
  <c r="EL23" i="31"/>
  <c r="V64" i="33"/>
  <c r="U65" i="33"/>
  <c r="EH23" i="31"/>
  <c r="U65" i="34"/>
  <c r="V64" i="34"/>
  <c r="AB78" i="31"/>
  <c r="DT24" i="31"/>
  <c r="EA24" i="31" s="1"/>
  <c r="BF78" i="31"/>
  <c r="DX24" i="31"/>
  <c r="EE24" i="31" s="1"/>
  <c r="AB31" i="31"/>
  <c r="BF31" i="31"/>
  <c r="E86" i="34"/>
  <c r="O85" i="34"/>
  <c r="D86" i="34"/>
  <c r="N85" i="34"/>
  <c r="F85" i="34"/>
  <c r="H84" i="34"/>
  <c r="D87" i="33"/>
  <c r="AY54" i="31" s="1"/>
  <c r="N86" i="33"/>
  <c r="F86" i="33"/>
  <c r="BA53" i="31" s="1"/>
  <c r="E86" i="33"/>
  <c r="AZ53" i="31" s="1"/>
  <c r="DQ47" i="31" s="1"/>
  <c r="O85" i="33"/>
  <c r="G86" i="34" l="1"/>
  <c r="G87" i="34" s="1"/>
  <c r="V53" i="31"/>
  <c r="DM47" i="31" s="1"/>
  <c r="W52" i="31"/>
  <c r="Y51" i="31"/>
  <c r="B51" i="31" s="1"/>
  <c r="U53" i="31"/>
  <c r="V65" i="33"/>
  <c r="U66" i="33"/>
  <c r="EL24" i="31"/>
  <c r="BB52" i="31"/>
  <c r="G86" i="33"/>
  <c r="EH24" i="31"/>
  <c r="V65" i="34"/>
  <c r="U66" i="34"/>
  <c r="BF79" i="31"/>
  <c r="DX25" i="31"/>
  <c r="EE25" i="31" s="1"/>
  <c r="AB79" i="31"/>
  <c r="DT25" i="31"/>
  <c r="EA25" i="31" s="1"/>
  <c r="BF32" i="31"/>
  <c r="AB32" i="31"/>
  <c r="D87" i="34"/>
  <c r="N86" i="34"/>
  <c r="F86" i="34"/>
  <c r="O86" i="34"/>
  <c r="E87" i="34"/>
  <c r="H85" i="34"/>
  <c r="D88" i="33"/>
  <c r="AY55" i="31" s="1"/>
  <c r="F87" i="33"/>
  <c r="BA54" i="31" s="1"/>
  <c r="N87" i="33"/>
  <c r="O86" i="33"/>
  <c r="E87" i="33"/>
  <c r="AZ54" i="31" s="1"/>
  <c r="DQ48" i="31" s="1"/>
  <c r="X53" i="31" l="1"/>
  <c r="V54" i="31"/>
  <c r="DM48" i="31" s="1"/>
  <c r="W53" i="31"/>
  <c r="U54" i="31"/>
  <c r="Y52" i="31"/>
  <c r="B52" i="31" s="1"/>
  <c r="X54" i="31"/>
  <c r="G88" i="34"/>
  <c r="BB53" i="31"/>
  <c r="G87" i="33"/>
  <c r="EL25" i="31"/>
  <c r="V66" i="33"/>
  <c r="U67" i="33"/>
  <c r="EH25" i="31"/>
  <c r="U67" i="34"/>
  <c r="V66" i="34"/>
  <c r="AB10" i="31"/>
  <c r="DT26" i="31"/>
  <c r="EA26" i="31" s="1"/>
  <c r="BF10" i="31"/>
  <c r="BF5" i="31" s="1"/>
  <c r="DX26" i="31"/>
  <c r="EE26" i="31" s="1"/>
  <c r="BF80" i="31"/>
  <c r="AB33" i="31"/>
  <c r="DT27" i="31" s="1"/>
  <c r="AB80" i="31"/>
  <c r="BF33" i="31"/>
  <c r="DX27" i="31" s="1"/>
  <c r="H86" i="34"/>
  <c r="O87" i="34"/>
  <c r="E88" i="34"/>
  <c r="N87" i="34"/>
  <c r="D88" i="34"/>
  <c r="F87" i="34"/>
  <c r="O87" i="33"/>
  <c r="E88" i="33"/>
  <c r="AZ55" i="31" s="1"/>
  <c r="DQ49" i="31" s="1"/>
  <c r="N88" i="33"/>
  <c r="F88" i="33"/>
  <c r="BA55" i="31" s="1"/>
  <c r="D89" i="33"/>
  <c r="AY56" i="31" s="1"/>
  <c r="V55" i="31" l="1"/>
  <c r="DM49" i="31" s="1"/>
  <c r="U55" i="31"/>
  <c r="W54" i="31"/>
  <c r="Y53" i="31"/>
  <c r="B53" i="31" s="1"/>
  <c r="G89" i="34"/>
  <c r="X55" i="31"/>
  <c r="V67" i="33"/>
  <c r="U68" i="33"/>
  <c r="EL26" i="31"/>
  <c r="G88" i="33"/>
  <c r="BB54" i="31"/>
  <c r="AB5" i="31"/>
  <c r="EH26" i="31"/>
  <c r="V67" i="34"/>
  <c r="U68" i="34"/>
  <c r="EE27" i="31"/>
  <c r="EA27" i="31"/>
  <c r="BF81" i="31"/>
  <c r="AB81" i="31"/>
  <c r="BF34" i="31"/>
  <c r="DX28" i="31" s="1"/>
  <c r="AB34" i="31"/>
  <c r="DT28" i="31" s="1"/>
  <c r="H87" i="34"/>
  <c r="O88" i="34"/>
  <c r="E89" i="34"/>
  <c r="N88" i="34"/>
  <c r="F88" i="34"/>
  <c r="D89" i="34"/>
  <c r="F89" i="33"/>
  <c r="BA56" i="31" s="1"/>
  <c r="D90" i="33"/>
  <c r="AY57" i="31" s="1"/>
  <c r="N89" i="33"/>
  <c r="E89" i="33"/>
  <c r="AZ56" i="31" s="1"/>
  <c r="DQ50" i="31" s="1"/>
  <c r="O88" i="33"/>
  <c r="V56" i="31" l="1"/>
  <c r="DM50" i="31" s="1"/>
  <c r="U56" i="31"/>
  <c r="W55" i="31"/>
  <c r="Y54" i="31"/>
  <c r="B54" i="31" s="1"/>
  <c r="X56" i="31"/>
  <c r="G90" i="34"/>
  <c r="EE28" i="31"/>
  <c r="G89" i="33"/>
  <c r="BB55" i="31"/>
  <c r="EL27" i="31"/>
  <c r="U69" i="33"/>
  <c r="V68" i="33"/>
  <c r="EH27" i="31"/>
  <c r="EA28" i="31"/>
  <c r="U69" i="34"/>
  <c r="V68" i="34"/>
  <c r="BF82" i="31"/>
  <c r="AB82" i="31"/>
  <c r="AB35" i="31"/>
  <c r="DT29" i="31" s="1"/>
  <c r="BF35" i="31"/>
  <c r="DX29" i="31" s="1"/>
  <c r="E90" i="34"/>
  <c r="O89" i="34"/>
  <c r="F89" i="34"/>
  <c r="D90" i="34"/>
  <c r="N89" i="34"/>
  <c r="H88" i="34"/>
  <c r="F90" i="33"/>
  <c r="BA57" i="31" s="1"/>
  <c r="N90" i="33"/>
  <c r="E90" i="33"/>
  <c r="AZ57" i="31" s="1"/>
  <c r="DQ51" i="31" s="1"/>
  <c r="O89" i="33"/>
  <c r="V57" i="31" l="1"/>
  <c r="DM51" i="31" s="1"/>
  <c r="EA29" i="31"/>
  <c r="Y55" i="31"/>
  <c r="B55" i="31" s="1"/>
  <c r="W56" i="31"/>
  <c r="U57" i="31"/>
  <c r="X57" i="31"/>
  <c r="EL28" i="31"/>
  <c r="EE29" i="31"/>
  <c r="U70" i="33"/>
  <c r="V69" i="33"/>
  <c r="G90" i="33"/>
  <c r="BB56" i="31"/>
  <c r="EH28" i="31"/>
  <c r="V69" i="34"/>
  <c r="U70" i="34"/>
  <c r="BF83" i="31"/>
  <c r="AB83" i="31"/>
  <c r="AB36" i="31"/>
  <c r="DT30" i="31" s="1"/>
  <c r="BF36" i="31"/>
  <c r="F90" i="34"/>
  <c r="N90" i="34"/>
  <c r="H89" i="34"/>
  <c r="O90" i="34"/>
  <c r="O90" i="33"/>
  <c r="EH29" i="31" l="1"/>
  <c r="EA30" i="31"/>
  <c r="EH30" i="31" s="1"/>
  <c r="Y56" i="31"/>
  <c r="B56" i="31" s="1"/>
  <c r="W57" i="31"/>
  <c r="EL29" i="31"/>
  <c r="BB57" i="31"/>
  <c r="V70" i="33"/>
  <c r="U71" i="33"/>
  <c r="U71" i="34"/>
  <c r="V70" i="34"/>
  <c r="BF84" i="31"/>
  <c r="DX30" i="31"/>
  <c r="EE30" i="31" s="1"/>
  <c r="AB84" i="31"/>
  <c r="BF37" i="31"/>
  <c r="AB37" i="31"/>
  <c r="DT31" i="31" s="1"/>
  <c r="H90" i="34"/>
  <c r="EA31" i="31" l="1"/>
  <c r="EH31" i="31" s="1"/>
  <c r="Y57" i="31"/>
  <c r="B57" i="31" s="1"/>
  <c r="EL30" i="31"/>
  <c r="U72" i="33"/>
  <c r="V71" i="33"/>
  <c r="U72" i="34"/>
  <c r="V71" i="34"/>
  <c r="BF85" i="31"/>
  <c r="DX31" i="31"/>
  <c r="EE31" i="31" s="1"/>
  <c r="AB85" i="31"/>
  <c r="BF38" i="31"/>
  <c r="AB38" i="31"/>
  <c r="DT32" i="31" s="1"/>
  <c r="EA32" i="31" l="1"/>
  <c r="EH32" i="31" s="1"/>
  <c r="U73" i="33"/>
  <c r="V72" i="33"/>
  <c r="EL31" i="31"/>
  <c r="U73" i="34"/>
  <c r="V72" i="34"/>
  <c r="BF86" i="31"/>
  <c r="DX32" i="31"/>
  <c r="EE32" i="31" s="1"/>
  <c r="AB86" i="31"/>
  <c r="AB39" i="31"/>
  <c r="DT33" i="31" s="1"/>
  <c r="BF39" i="31"/>
  <c r="EA33" i="31" l="1"/>
  <c r="EH33" i="31" s="1"/>
  <c r="V73" i="33"/>
  <c r="U74" i="33"/>
  <c r="EL32" i="31"/>
  <c r="U74" i="34"/>
  <c r="V73" i="34"/>
  <c r="BF87" i="31"/>
  <c r="DX33" i="31"/>
  <c r="EE33" i="31" s="1"/>
  <c r="AB87" i="31"/>
  <c r="BF40" i="31"/>
  <c r="AB40" i="31"/>
  <c r="G131" i="33" l="1"/>
  <c r="EL33" i="31"/>
  <c r="U75" i="33"/>
  <c r="V74" i="33"/>
  <c r="V74" i="34"/>
  <c r="U75" i="34"/>
  <c r="AB88" i="31"/>
  <c r="DT34" i="31"/>
  <c r="EA34" i="31" s="1"/>
  <c r="BF88" i="31"/>
  <c r="DX34" i="31"/>
  <c r="EE34" i="31" s="1"/>
  <c r="AB41" i="31"/>
  <c r="BF41" i="31"/>
  <c r="V75" i="33" l="1"/>
  <c r="U76" i="33"/>
  <c r="EL34" i="31"/>
  <c r="EH34" i="31"/>
  <c r="AB42" i="31"/>
  <c r="V75" i="34"/>
  <c r="U76" i="34"/>
  <c r="BF89" i="31"/>
  <c r="DX35" i="31"/>
  <c r="EE35" i="31" s="1"/>
  <c r="AB89" i="31"/>
  <c r="DT35" i="31"/>
  <c r="EA35" i="31" s="1"/>
  <c r="BF42" i="31"/>
  <c r="BF43" i="31" l="1"/>
  <c r="U77" i="33"/>
  <c r="V76" i="33"/>
  <c r="EL35" i="31"/>
  <c r="EH35" i="31"/>
  <c r="AB43" i="31"/>
  <c r="U77" i="34"/>
  <c r="V76" i="34"/>
  <c r="BF90" i="31"/>
  <c r="DX36" i="31"/>
  <c r="EE36" i="31" s="1"/>
  <c r="AB90" i="31"/>
  <c r="DT36" i="31"/>
  <c r="EA36" i="31" s="1"/>
  <c r="EL36" i="31" l="1"/>
  <c r="BF44" i="31"/>
  <c r="V77" i="33"/>
  <c r="U78" i="33"/>
  <c r="EH36" i="31"/>
  <c r="AB44" i="31"/>
  <c r="V77" i="34"/>
  <c r="U78" i="34"/>
  <c r="BF91" i="31"/>
  <c r="DX37" i="31"/>
  <c r="EE37" i="31" s="1"/>
  <c r="AB91" i="31"/>
  <c r="DT37" i="31"/>
  <c r="EA37" i="31" s="1"/>
  <c r="BF45" i="31" l="1"/>
  <c r="U79" i="33"/>
  <c r="V78" i="33"/>
  <c r="EL37" i="31"/>
  <c r="EH37" i="31"/>
  <c r="AB45" i="31"/>
  <c r="U79" i="34"/>
  <c r="V78" i="34"/>
  <c r="BF92" i="31"/>
  <c r="DX38" i="31"/>
  <c r="EE38" i="31" s="1"/>
  <c r="AB92" i="31"/>
  <c r="DT38" i="31"/>
  <c r="EA38" i="31" s="1"/>
  <c r="EL38" i="31" l="1"/>
  <c r="BF46" i="31"/>
  <c r="U80" i="33"/>
  <c r="V79" i="33"/>
  <c r="EH38" i="31"/>
  <c r="AB46" i="31"/>
  <c r="V79" i="34"/>
  <c r="U80" i="34"/>
  <c r="BF93" i="31"/>
  <c r="DX39" i="31"/>
  <c r="EE39" i="31" s="1"/>
  <c r="AB93" i="31"/>
  <c r="DT39" i="31"/>
  <c r="EA39" i="31" s="1"/>
  <c r="BF47" i="31" l="1"/>
  <c r="U81" i="33"/>
  <c r="V80" i="33"/>
  <c r="EL39" i="31"/>
  <c r="EH39" i="31"/>
  <c r="AB47" i="31"/>
  <c r="U81" i="34"/>
  <c r="V80" i="34"/>
  <c r="AB94" i="31"/>
  <c r="DT40" i="31"/>
  <c r="EA40" i="31" s="1"/>
  <c r="BF94" i="31"/>
  <c r="DX40" i="31"/>
  <c r="EE40" i="31" s="1"/>
  <c r="BF48" i="31" l="1"/>
  <c r="DX42" i="31" s="1"/>
  <c r="V81" i="33"/>
  <c r="U82" i="33"/>
  <c r="H81" i="33"/>
  <c r="BC48" i="31" s="1"/>
  <c r="F48" i="31" s="1"/>
  <c r="EL40" i="31"/>
  <c r="EH40" i="31"/>
  <c r="AB48" i="31"/>
  <c r="DT42" i="31" s="1"/>
  <c r="V81" i="34"/>
  <c r="U82" i="34"/>
  <c r="AB95" i="31"/>
  <c r="AC61" i="31" s="1"/>
  <c r="AC63" i="31" s="1"/>
  <c r="AC64" i="31" s="1"/>
  <c r="AC65" i="31" s="1"/>
  <c r="AC66" i="31" s="1"/>
  <c r="AC67" i="31" s="1"/>
  <c r="AC68" i="31" s="1"/>
  <c r="AC69" i="31" s="1"/>
  <c r="AC70" i="31" s="1"/>
  <c r="AC71" i="31" s="1"/>
  <c r="AC72" i="31" s="1"/>
  <c r="AC73" i="31" s="1"/>
  <c r="AC74" i="31" s="1"/>
  <c r="AC75" i="31" s="1"/>
  <c r="AC76" i="31" s="1"/>
  <c r="AC77" i="31" s="1"/>
  <c r="AC78" i="31" s="1"/>
  <c r="AC79" i="31" s="1"/>
  <c r="AC80" i="31" s="1"/>
  <c r="AC81" i="31" s="1"/>
  <c r="AC82" i="31" s="1"/>
  <c r="AC83" i="31" s="1"/>
  <c r="AC84" i="31" s="1"/>
  <c r="AC85" i="31" s="1"/>
  <c r="AC86" i="31" s="1"/>
  <c r="AC87" i="31" s="1"/>
  <c r="AC88" i="31" s="1"/>
  <c r="AC89" i="31" s="1"/>
  <c r="AC90" i="31" s="1"/>
  <c r="AC91" i="31" s="1"/>
  <c r="AC92" i="31" s="1"/>
  <c r="AC93" i="31" s="1"/>
  <c r="AC94" i="31" s="1"/>
  <c r="AC95" i="31" s="1"/>
  <c r="DT41" i="31"/>
  <c r="EA41" i="31" s="1"/>
  <c r="BF95" i="31"/>
  <c r="DX41" i="31"/>
  <c r="EE41" i="31" s="1"/>
  <c r="AB12" i="31"/>
  <c r="BF12" i="31"/>
  <c r="BF11" i="31"/>
  <c r="AB11" i="31"/>
  <c r="BQ61" i="31"/>
  <c r="BQ63" i="31" s="1"/>
  <c r="BQ64" i="31" s="1"/>
  <c r="BQ65" i="31" s="1"/>
  <c r="BQ66" i="31" s="1"/>
  <c r="BQ68" i="31" s="1"/>
  <c r="BQ69" i="31" s="1"/>
  <c r="BQ70" i="31" s="1"/>
  <c r="BQ71" i="31" s="1"/>
  <c r="BQ72" i="31" s="1"/>
  <c r="BQ73" i="31" s="1"/>
  <c r="BQ74" i="31" s="1"/>
  <c r="BQ75" i="31" s="1"/>
  <c r="BQ76" i="31" s="1"/>
  <c r="BQ77" i="31" s="1"/>
  <c r="BQ78" i="31" s="1"/>
  <c r="BQ79" i="31" s="1"/>
  <c r="BQ80" i="31" s="1"/>
  <c r="BQ81" i="31" s="1"/>
  <c r="BQ82" i="31" s="1"/>
  <c r="BQ83" i="31" s="1"/>
  <c r="BQ84" i="31" s="1"/>
  <c r="BQ85" i="31" s="1"/>
  <c r="BQ86" i="31" s="1"/>
  <c r="BQ87" i="31" s="1"/>
  <c r="BQ88" i="31" s="1"/>
  <c r="BQ89" i="31" s="1"/>
  <c r="BQ90" i="31" s="1"/>
  <c r="BQ91" i="31" s="1"/>
  <c r="BQ92" i="31" s="1"/>
  <c r="BQ93" i="31" s="1"/>
  <c r="BQ94" i="31" s="1"/>
  <c r="BQ95" i="31" s="1"/>
  <c r="BF49" i="31" l="1"/>
  <c r="DX43" i="31" s="1"/>
  <c r="V82" i="33"/>
  <c r="U83" i="33"/>
  <c r="H82" i="33"/>
  <c r="BC49" i="31" s="1"/>
  <c r="F49" i="31" s="1"/>
  <c r="EL41" i="31"/>
  <c r="EH41" i="31"/>
  <c r="AB49" i="31"/>
  <c r="DT43" i="31" s="1"/>
  <c r="V82" i="34"/>
  <c r="U83" i="34"/>
  <c r="EE42" i="31"/>
  <c r="EA42" i="31"/>
  <c r="EL42" i="31" l="1"/>
  <c r="BF50" i="31"/>
  <c r="DX44" i="31" s="1"/>
  <c r="V83" i="33"/>
  <c r="U84" i="33"/>
  <c r="H83" i="33"/>
  <c r="BC50" i="31" s="1"/>
  <c r="F50" i="31" s="1"/>
  <c r="EH42" i="31"/>
  <c r="EE43" i="31"/>
  <c r="AB50" i="31"/>
  <c r="DT44" i="31" s="1"/>
  <c r="V83" i="34"/>
  <c r="U84" i="34"/>
  <c r="EA43" i="31"/>
  <c r="EL43" i="31" l="1"/>
  <c r="BF51" i="31"/>
  <c r="DX45" i="31" s="1"/>
  <c r="U85" i="33"/>
  <c r="V84" i="33"/>
  <c r="H84" i="33"/>
  <c r="BC51" i="31" s="1"/>
  <c r="F51" i="31" s="1"/>
  <c r="EH43" i="31"/>
  <c r="EE44" i="31"/>
  <c r="AB51" i="31"/>
  <c r="DT45" i="31" s="1"/>
  <c r="U85" i="34"/>
  <c r="V84" i="34"/>
  <c r="EA44" i="31"/>
  <c r="V85" i="34" l="1"/>
  <c r="EL44" i="31"/>
  <c r="BF52" i="31"/>
  <c r="DX46" i="31" s="1"/>
  <c r="V85" i="33"/>
  <c r="U86" i="33"/>
  <c r="H85" i="33"/>
  <c r="BC52" i="31" s="1"/>
  <c r="F52" i="31" s="1"/>
  <c r="EH44" i="31"/>
  <c r="EE45" i="31"/>
  <c r="AB52" i="31"/>
  <c r="DT46" i="31" s="1"/>
  <c r="U86" i="34"/>
  <c r="EA45" i="31"/>
  <c r="EL45" i="31" l="1"/>
  <c r="BF53" i="31"/>
  <c r="DX47" i="31" s="1"/>
  <c r="V86" i="33"/>
  <c r="U87" i="33"/>
  <c r="H86" i="33"/>
  <c r="BC53" i="31" s="1"/>
  <c r="F53" i="31" s="1"/>
  <c r="EA46" i="31"/>
  <c r="EH46" i="31" s="1"/>
  <c r="EH45" i="31"/>
  <c r="EE46" i="31"/>
  <c r="AB53" i="31"/>
  <c r="DT47" i="31" s="1"/>
  <c r="V86" i="34"/>
  <c r="U87" i="34"/>
  <c r="EA47" i="31" l="1"/>
  <c r="EH47" i="31" s="1"/>
  <c r="EE47" i="31"/>
  <c r="EL47" i="31" s="1"/>
  <c r="EL46" i="31"/>
  <c r="BF54" i="31"/>
  <c r="DX48" i="31" s="1"/>
  <c r="V87" i="33"/>
  <c r="U88" i="33"/>
  <c r="H87" i="33"/>
  <c r="BC54" i="31" s="1"/>
  <c r="F54" i="31" s="1"/>
  <c r="AB54" i="31"/>
  <c r="DT48" i="31" s="1"/>
  <c r="U88" i="34"/>
  <c r="V87" i="34"/>
  <c r="EA48" i="31" l="1"/>
  <c r="EH48" i="31" s="1"/>
  <c r="EE48" i="31"/>
  <c r="BF55" i="31"/>
  <c r="DX49" i="31" s="1"/>
  <c r="EE49" i="31" s="1"/>
  <c r="U89" i="33"/>
  <c r="V88" i="33"/>
  <c r="H88" i="33"/>
  <c r="BC55" i="31" s="1"/>
  <c r="F55" i="31" s="1"/>
  <c r="AB55" i="31"/>
  <c r="DT49" i="31" s="1"/>
  <c r="U89" i="34"/>
  <c r="V88" i="34"/>
  <c r="EL48" i="31" l="1"/>
  <c r="EA49" i="31"/>
  <c r="EH49" i="31" s="1"/>
  <c r="BF56" i="31"/>
  <c r="DX50" i="31" s="1"/>
  <c r="EE50" i="31" s="1"/>
  <c r="V89" i="33"/>
  <c r="U90" i="33"/>
  <c r="H89" i="33"/>
  <c r="BC56" i="31" s="1"/>
  <c r="F56" i="31" s="1"/>
  <c r="EL49" i="31"/>
  <c r="AB56" i="31"/>
  <c r="DT50" i="31" s="1"/>
  <c r="V89" i="34"/>
  <c r="U90" i="34"/>
  <c r="EA50" i="31" l="1"/>
  <c r="EH50" i="31" s="1"/>
  <c r="EL50" i="31"/>
  <c r="BF57" i="31"/>
  <c r="DX51" i="31" s="1"/>
  <c r="EE51" i="31" s="1"/>
  <c r="U91" i="33"/>
  <c r="V90" i="33"/>
  <c r="H90" i="33"/>
  <c r="BC57" i="31" s="1"/>
  <c r="F57" i="31" s="1"/>
  <c r="AB57" i="31"/>
  <c r="DT51" i="31" s="1"/>
  <c r="V90" i="34"/>
  <c r="EA51" i="31" l="1"/>
  <c r="EH51" i="31" s="1"/>
  <c r="EL51" i="31"/>
  <c r="U92" i="33"/>
  <c r="V91" i="33"/>
  <c r="U93" i="33" l="1"/>
  <c r="V92" i="33"/>
  <c r="V93" i="33" l="1"/>
  <c r="AL28" i="6" l="1"/>
  <c r="AL29" i="6" s="1"/>
  <c r="F5" i="18" l="1"/>
  <c r="F109" i="7"/>
  <c r="C38" i="40" s="1"/>
  <c r="F108" i="7"/>
  <c r="F107" i="7"/>
  <c r="F106" i="7"/>
  <c r="F105" i="7"/>
  <c r="C34" i="40" s="1"/>
  <c r="F104" i="7"/>
  <c r="F103" i="7"/>
  <c r="F102" i="7"/>
  <c r="F101" i="7"/>
  <c r="F100" i="7"/>
  <c r="F99" i="7"/>
  <c r="F98" i="7"/>
  <c r="F97" i="7"/>
  <c r="C26" i="40" s="1"/>
  <c r="F96" i="7"/>
  <c r="F95" i="7"/>
  <c r="F94" i="7"/>
  <c r="C104" i="6" s="1"/>
  <c r="F93" i="7"/>
  <c r="F92" i="7"/>
  <c r="F91" i="7"/>
  <c r="F90" i="7"/>
  <c r="F89" i="7"/>
  <c r="C18" i="40" s="1"/>
  <c r="F88" i="7"/>
  <c r="F87" i="7"/>
  <c r="F86" i="7"/>
  <c r="F85" i="7"/>
  <c r="C95" i="6" s="1"/>
  <c r="F84" i="7"/>
  <c r="F83" i="7"/>
  <c r="F82" i="7"/>
  <c r="F81" i="7"/>
  <c r="C10" i="40" s="1"/>
  <c r="F80" i="7"/>
  <c r="D4" i="18"/>
  <c r="D5" i="18" s="1"/>
  <c r="D2" i="18" s="1"/>
  <c r="AM66" i="6"/>
  <c r="AL66" i="6"/>
  <c r="AL65" i="6"/>
  <c r="AM65" i="6" s="1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Z125" i="8"/>
  <c r="S125" i="8"/>
  <c r="K125" i="8"/>
  <c r="J125" i="8"/>
  <c r="H125" i="8"/>
  <c r="C125" i="8"/>
  <c r="AF124" i="8"/>
  <c r="AE124" i="8"/>
  <c r="AD124" i="8"/>
  <c r="AC124" i="8"/>
  <c r="AB124" i="8"/>
  <c r="AA124" i="8"/>
  <c r="Z124" i="8"/>
  <c r="Y124" i="8"/>
  <c r="Y126" i="8" s="1"/>
  <c r="Y128" i="8" s="1"/>
  <c r="X124" i="8"/>
  <c r="W124" i="8"/>
  <c r="V124" i="8"/>
  <c r="U124" i="8"/>
  <c r="T124" i="8"/>
  <c r="S124" i="8"/>
  <c r="R124" i="8"/>
  <c r="Q124" i="8"/>
  <c r="Q126" i="8" s="1"/>
  <c r="Q128" i="8" s="1"/>
  <c r="P124" i="8"/>
  <c r="O124" i="8"/>
  <c r="N124" i="8"/>
  <c r="M124" i="8"/>
  <c r="L124" i="8"/>
  <c r="K124" i="8"/>
  <c r="K126" i="8" s="1"/>
  <c r="K128" i="8" s="1"/>
  <c r="J124" i="8"/>
  <c r="I124" i="8"/>
  <c r="I126" i="8" s="1"/>
  <c r="I128" i="8" s="1"/>
  <c r="H124" i="8"/>
  <c r="H126" i="8" s="1"/>
  <c r="H128" i="8" s="1"/>
  <c r="G124" i="8"/>
  <c r="F124" i="8"/>
  <c r="E124" i="8"/>
  <c r="D124" i="8"/>
  <c r="C124" i="8"/>
  <c r="B127" i="8"/>
  <c r="B125" i="8"/>
  <c r="B124" i="8"/>
  <c r="A127" i="8"/>
  <c r="A124" i="8"/>
  <c r="AD119" i="8"/>
  <c r="AD120" i="8" s="1"/>
  <c r="AC119" i="8"/>
  <c r="AC120" i="8" s="1"/>
  <c r="AF118" i="8"/>
  <c r="Y118" i="8"/>
  <c r="V118" i="8"/>
  <c r="S118" i="8"/>
  <c r="Q118" i="8"/>
  <c r="P118" i="8"/>
  <c r="K118" i="8"/>
  <c r="I118" i="8"/>
  <c r="C118" i="8"/>
  <c r="Z117" i="8"/>
  <c r="Y117" i="8"/>
  <c r="S117" i="8"/>
  <c r="R117" i="8"/>
  <c r="K117" i="8"/>
  <c r="J117" i="8"/>
  <c r="I117" i="8"/>
  <c r="C117" i="8"/>
  <c r="B118" i="8"/>
  <c r="AF116" i="8"/>
  <c r="AF117" i="8" s="1"/>
  <c r="AE116" i="8"/>
  <c r="AE117" i="8" s="1"/>
  <c r="AD116" i="8"/>
  <c r="AD117" i="8" s="1"/>
  <c r="AC116" i="8"/>
  <c r="AC117" i="8" s="1"/>
  <c r="AB116" i="8"/>
  <c r="AB125" i="8" s="1"/>
  <c r="AA116" i="8"/>
  <c r="AA119" i="8" s="1"/>
  <c r="AA120" i="8" s="1"/>
  <c r="AA115" i="8"/>
  <c r="AB115" i="8" s="1"/>
  <c r="AC115" i="8" s="1"/>
  <c r="AD115" i="8" s="1"/>
  <c r="AE115" i="8" s="1"/>
  <c r="AF115" i="8" s="1"/>
  <c r="D115" i="8"/>
  <c r="E115" i="8" s="1"/>
  <c r="F115" i="8" s="1"/>
  <c r="G115" i="8" s="1"/>
  <c r="H115" i="8" s="1"/>
  <c r="I115" i="8" s="1"/>
  <c r="J115" i="8" s="1"/>
  <c r="K115" i="8" s="1"/>
  <c r="L115" i="8" s="1"/>
  <c r="M115" i="8" s="1"/>
  <c r="N115" i="8" s="1"/>
  <c r="O115" i="8" s="1"/>
  <c r="P115" i="8" s="1"/>
  <c r="Q115" i="8" s="1"/>
  <c r="R115" i="8" s="1"/>
  <c r="S115" i="8" s="1"/>
  <c r="T115" i="8" s="1"/>
  <c r="U115" i="8" s="1"/>
  <c r="V115" i="8" s="1"/>
  <c r="W115" i="8" s="1"/>
  <c r="X115" i="8" s="1"/>
  <c r="Y115" i="8" s="1"/>
  <c r="Z115" i="8" s="1"/>
  <c r="Z116" i="8"/>
  <c r="Z118" i="8" s="1"/>
  <c r="Y116" i="8"/>
  <c r="Y125" i="8" s="1"/>
  <c r="X116" i="8"/>
  <c r="X117" i="8" s="1"/>
  <c r="W116" i="8"/>
  <c r="V116" i="8"/>
  <c r="U116" i="8"/>
  <c r="U117" i="8" s="1"/>
  <c r="T116" i="8"/>
  <c r="S116" i="8"/>
  <c r="R116" i="8"/>
  <c r="R118" i="8" s="1"/>
  <c r="Q116" i="8"/>
  <c r="Q125" i="8" s="1"/>
  <c r="P116" i="8"/>
  <c r="P117" i="8" s="1"/>
  <c r="O116" i="8"/>
  <c r="N116" i="8"/>
  <c r="N118" i="8" s="1"/>
  <c r="M116" i="8"/>
  <c r="M117" i="8" s="1"/>
  <c r="L116" i="8"/>
  <c r="K116" i="8"/>
  <c r="J116" i="8"/>
  <c r="J118" i="8" s="1"/>
  <c r="I116" i="8"/>
  <c r="I125" i="8" s="1"/>
  <c r="H116" i="8"/>
  <c r="H117" i="8" s="1"/>
  <c r="G116" i="8"/>
  <c r="F116" i="8"/>
  <c r="E116" i="8"/>
  <c r="E117" i="8" s="1"/>
  <c r="D116" i="8"/>
  <c r="C116" i="8"/>
  <c r="B116" i="8"/>
  <c r="B119" i="8" s="1"/>
  <c r="B120" i="8" s="1"/>
  <c r="A116" i="8"/>
  <c r="A125" i="8" s="1"/>
  <c r="C82" i="19"/>
  <c r="J49" i="31" s="1"/>
  <c r="O48" i="19"/>
  <c r="Y48" i="19"/>
  <c r="K47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29" i="19"/>
  <c r="G28" i="19"/>
  <c r="G27" i="19"/>
  <c r="G26" i="19"/>
  <c r="G25" i="19"/>
  <c r="G24" i="19"/>
  <c r="G23" i="19"/>
  <c r="G22" i="19"/>
  <c r="G21" i="19"/>
  <c r="G20" i="19"/>
  <c r="M13" i="19"/>
  <c r="N13" i="19" s="1"/>
  <c r="M12" i="19"/>
  <c r="M11" i="19"/>
  <c r="N8" i="19"/>
  <c r="N7" i="19"/>
  <c r="N6" i="19"/>
  <c r="N5" i="19"/>
  <c r="N2" i="19"/>
  <c r="M2" i="19"/>
  <c r="N1" i="19"/>
  <c r="M1" i="19"/>
  <c r="G7" i="19"/>
  <c r="N14" i="31" s="1"/>
  <c r="F7" i="19"/>
  <c r="F5" i="19"/>
  <c r="D4" i="19"/>
  <c r="C4" i="19"/>
  <c r="C82" i="18"/>
  <c r="AD49" i="31" s="1"/>
  <c r="AF16" i="31"/>
  <c r="DO10" i="31" s="1"/>
  <c r="AE16" i="31"/>
  <c r="O48" i="18"/>
  <c r="K47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M13" i="18"/>
  <c r="N13" i="18" s="1"/>
  <c r="M11" i="18"/>
  <c r="N8" i="18"/>
  <c r="N7" i="18"/>
  <c r="N6" i="18"/>
  <c r="N5" i="18"/>
  <c r="N2" i="18"/>
  <c r="M2" i="18"/>
  <c r="N1" i="18"/>
  <c r="M1" i="18"/>
  <c r="G7" i="18"/>
  <c r="F7" i="18"/>
  <c r="C4" i="18"/>
  <c r="C82" i="17"/>
  <c r="AN49" i="31" s="1"/>
  <c r="AP17" i="31"/>
  <c r="G49" i="17"/>
  <c r="AO17" i="31"/>
  <c r="AO65" i="31" s="1"/>
  <c r="N48" i="17"/>
  <c r="Y48" i="17"/>
  <c r="K47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M13" i="17"/>
  <c r="N13" i="17" s="1"/>
  <c r="M12" i="17"/>
  <c r="N12" i="17" s="1"/>
  <c r="M11" i="17"/>
  <c r="N8" i="17"/>
  <c r="N7" i="17"/>
  <c r="N6" i="17"/>
  <c r="N5" i="17"/>
  <c r="N2" i="17"/>
  <c r="M2" i="17"/>
  <c r="N1" i="17"/>
  <c r="M1" i="17"/>
  <c r="G7" i="17"/>
  <c r="F7" i="17"/>
  <c r="F5" i="17"/>
  <c r="D4" i="17"/>
  <c r="D5" i="17" s="1"/>
  <c r="C4" i="17"/>
  <c r="AH85" i="6"/>
  <c r="AH84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85" i="6"/>
  <c r="A84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H119" i="6"/>
  <c r="L119" i="6" s="1"/>
  <c r="G119" i="6"/>
  <c r="K119" i="6" s="1"/>
  <c r="H118" i="6"/>
  <c r="L118" i="6" s="1"/>
  <c r="G118" i="6"/>
  <c r="K118" i="6" s="1"/>
  <c r="H117" i="6"/>
  <c r="L117" i="6" s="1"/>
  <c r="G117" i="6"/>
  <c r="K117" i="6" s="1"/>
  <c r="H116" i="6"/>
  <c r="L116" i="6" s="1"/>
  <c r="G116" i="6"/>
  <c r="K116" i="6" s="1"/>
  <c r="H115" i="6"/>
  <c r="L115" i="6" s="1"/>
  <c r="G115" i="6"/>
  <c r="K115" i="6" s="1"/>
  <c r="H114" i="6"/>
  <c r="L114" i="6" s="1"/>
  <c r="G114" i="6"/>
  <c r="K114" i="6" s="1"/>
  <c r="H113" i="6"/>
  <c r="L113" i="6" s="1"/>
  <c r="G113" i="6"/>
  <c r="K113" i="6" s="1"/>
  <c r="H112" i="6"/>
  <c r="L112" i="6" s="1"/>
  <c r="G112" i="6"/>
  <c r="K112" i="6" s="1"/>
  <c r="H111" i="6"/>
  <c r="L111" i="6" s="1"/>
  <c r="G111" i="6"/>
  <c r="K111" i="6" s="1"/>
  <c r="H110" i="6"/>
  <c r="L110" i="6" s="1"/>
  <c r="G110" i="6"/>
  <c r="K110" i="6" s="1"/>
  <c r="H109" i="6"/>
  <c r="L109" i="6" s="1"/>
  <c r="G109" i="6"/>
  <c r="K109" i="6" s="1"/>
  <c r="H108" i="6"/>
  <c r="L108" i="6" s="1"/>
  <c r="G108" i="6"/>
  <c r="K108" i="6" s="1"/>
  <c r="H107" i="6"/>
  <c r="L107" i="6" s="1"/>
  <c r="G107" i="6"/>
  <c r="K107" i="6" s="1"/>
  <c r="H106" i="6"/>
  <c r="L106" i="6" s="1"/>
  <c r="G106" i="6"/>
  <c r="K106" i="6" s="1"/>
  <c r="H105" i="6"/>
  <c r="L105" i="6" s="1"/>
  <c r="G105" i="6"/>
  <c r="K105" i="6" s="1"/>
  <c r="H104" i="6"/>
  <c r="L104" i="6" s="1"/>
  <c r="G104" i="6"/>
  <c r="K104" i="6" s="1"/>
  <c r="H103" i="6"/>
  <c r="L103" i="6" s="1"/>
  <c r="G103" i="6"/>
  <c r="K103" i="6" s="1"/>
  <c r="H102" i="6"/>
  <c r="L102" i="6" s="1"/>
  <c r="G102" i="6"/>
  <c r="K102" i="6" s="1"/>
  <c r="H101" i="6"/>
  <c r="L101" i="6" s="1"/>
  <c r="G101" i="6"/>
  <c r="K101" i="6" s="1"/>
  <c r="H100" i="6"/>
  <c r="L100" i="6" s="1"/>
  <c r="G100" i="6"/>
  <c r="K100" i="6" s="1"/>
  <c r="H99" i="6"/>
  <c r="L99" i="6" s="1"/>
  <c r="G99" i="6"/>
  <c r="K99" i="6" s="1"/>
  <c r="H98" i="6"/>
  <c r="L98" i="6" s="1"/>
  <c r="G98" i="6"/>
  <c r="K98" i="6" s="1"/>
  <c r="H97" i="6"/>
  <c r="L97" i="6" s="1"/>
  <c r="G97" i="6"/>
  <c r="K97" i="6" s="1"/>
  <c r="H96" i="6"/>
  <c r="L96" i="6" s="1"/>
  <c r="G96" i="6"/>
  <c r="K96" i="6" s="1"/>
  <c r="H95" i="6"/>
  <c r="L95" i="6" s="1"/>
  <c r="G95" i="6"/>
  <c r="K95" i="6" s="1"/>
  <c r="H94" i="6"/>
  <c r="L94" i="6" s="1"/>
  <c r="G94" i="6"/>
  <c r="K94" i="6" s="1"/>
  <c r="H93" i="6"/>
  <c r="L93" i="6" s="1"/>
  <c r="G93" i="6"/>
  <c r="K93" i="6" s="1"/>
  <c r="H92" i="6"/>
  <c r="L92" i="6" s="1"/>
  <c r="G92" i="6"/>
  <c r="K92" i="6" s="1"/>
  <c r="H91" i="6"/>
  <c r="L91" i="6" s="1"/>
  <c r="G91" i="6"/>
  <c r="K91" i="6" s="1"/>
  <c r="H90" i="6"/>
  <c r="L90" i="6" s="1"/>
  <c r="G90" i="6"/>
  <c r="K90" i="6" s="1"/>
  <c r="H89" i="6"/>
  <c r="L89" i="6" s="1"/>
  <c r="G89" i="6"/>
  <c r="K89" i="6" s="1"/>
  <c r="F119" i="6"/>
  <c r="J119" i="6" s="1"/>
  <c r="E119" i="6"/>
  <c r="I119" i="6" s="1"/>
  <c r="F118" i="6"/>
  <c r="J118" i="6" s="1"/>
  <c r="E118" i="6"/>
  <c r="I118" i="6" s="1"/>
  <c r="F117" i="6"/>
  <c r="J117" i="6" s="1"/>
  <c r="E117" i="6"/>
  <c r="I117" i="6" s="1"/>
  <c r="F116" i="6"/>
  <c r="J116" i="6" s="1"/>
  <c r="E116" i="6"/>
  <c r="I116" i="6" s="1"/>
  <c r="F115" i="6"/>
  <c r="J115" i="6" s="1"/>
  <c r="E115" i="6"/>
  <c r="I115" i="6" s="1"/>
  <c r="F114" i="6"/>
  <c r="J114" i="6" s="1"/>
  <c r="E114" i="6"/>
  <c r="I114" i="6" s="1"/>
  <c r="F113" i="6"/>
  <c r="J113" i="6" s="1"/>
  <c r="E113" i="6"/>
  <c r="I113" i="6" s="1"/>
  <c r="F112" i="6"/>
  <c r="J112" i="6" s="1"/>
  <c r="E112" i="6"/>
  <c r="I112" i="6" s="1"/>
  <c r="F111" i="6"/>
  <c r="J111" i="6" s="1"/>
  <c r="E111" i="6"/>
  <c r="I111" i="6" s="1"/>
  <c r="F110" i="6"/>
  <c r="J110" i="6" s="1"/>
  <c r="E110" i="6"/>
  <c r="I110" i="6" s="1"/>
  <c r="F109" i="6"/>
  <c r="J109" i="6" s="1"/>
  <c r="E109" i="6"/>
  <c r="I109" i="6" s="1"/>
  <c r="F108" i="6"/>
  <c r="J108" i="6" s="1"/>
  <c r="E108" i="6"/>
  <c r="I108" i="6" s="1"/>
  <c r="F107" i="6"/>
  <c r="J107" i="6" s="1"/>
  <c r="E107" i="6"/>
  <c r="I107" i="6" s="1"/>
  <c r="F106" i="6"/>
  <c r="J106" i="6" s="1"/>
  <c r="E106" i="6"/>
  <c r="I106" i="6" s="1"/>
  <c r="F105" i="6"/>
  <c r="J105" i="6" s="1"/>
  <c r="E105" i="6"/>
  <c r="I105" i="6" s="1"/>
  <c r="F104" i="6"/>
  <c r="J104" i="6" s="1"/>
  <c r="E104" i="6"/>
  <c r="I104" i="6" s="1"/>
  <c r="F103" i="6"/>
  <c r="J103" i="6" s="1"/>
  <c r="E103" i="6"/>
  <c r="I103" i="6" s="1"/>
  <c r="F102" i="6"/>
  <c r="J102" i="6" s="1"/>
  <c r="E102" i="6"/>
  <c r="I102" i="6" s="1"/>
  <c r="F101" i="6"/>
  <c r="J101" i="6" s="1"/>
  <c r="E101" i="6"/>
  <c r="I101" i="6" s="1"/>
  <c r="F100" i="6"/>
  <c r="J100" i="6" s="1"/>
  <c r="E100" i="6"/>
  <c r="I100" i="6" s="1"/>
  <c r="F99" i="6"/>
  <c r="J99" i="6" s="1"/>
  <c r="E99" i="6"/>
  <c r="I99" i="6" s="1"/>
  <c r="F98" i="6"/>
  <c r="J98" i="6" s="1"/>
  <c r="E98" i="6"/>
  <c r="I98" i="6" s="1"/>
  <c r="F97" i="6"/>
  <c r="J97" i="6" s="1"/>
  <c r="E97" i="6"/>
  <c r="I97" i="6" s="1"/>
  <c r="F96" i="6"/>
  <c r="J96" i="6" s="1"/>
  <c r="E96" i="6"/>
  <c r="I96" i="6" s="1"/>
  <c r="F95" i="6"/>
  <c r="J95" i="6" s="1"/>
  <c r="E95" i="6"/>
  <c r="I95" i="6" s="1"/>
  <c r="F94" i="6"/>
  <c r="J94" i="6" s="1"/>
  <c r="E94" i="6"/>
  <c r="I94" i="6" s="1"/>
  <c r="F93" i="6"/>
  <c r="J93" i="6" s="1"/>
  <c r="E93" i="6"/>
  <c r="I93" i="6" s="1"/>
  <c r="F92" i="6"/>
  <c r="J92" i="6" s="1"/>
  <c r="E92" i="6"/>
  <c r="I92" i="6" s="1"/>
  <c r="F91" i="6"/>
  <c r="J91" i="6" s="1"/>
  <c r="E91" i="6"/>
  <c r="I91" i="6" s="1"/>
  <c r="F90" i="6"/>
  <c r="J90" i="6" s="1"/>
  <c r="E90" i="6"/>
  <c r="I90" i="6" s="1"/>
  <c r="F89" i="6"/>
  <c r="J89" i="6" s="1"/>
  <c r="E89" i="6"/>
  <c r="I89" i="6" s="1"/>
  <c r="D89" i="6"/>
  <c r="C89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N81" i="6"/>
  <c r="M81" i="6"/>
  <c r="L81" i="6"/>
  <c r="K81" i="6"/>
  <c r="J81" i="6"/>
  <c r="I81" i="6"/>
  <c r="H81" i="6"/>
  <c r="G81" i="6"/>
  <c r="F81" i="6"/>
  <c r="E81" i="6"/>
  <c r="D81" i="6"/>
  <c r="C81" i="6"/>
  <c r="AB76" i="6"/>
  <c r="J76" i="6"/>
  <c r="Z75" i="6"/>
  <c r="R75" i="6"/>
  <c r="Q75" i="6"/>
  <c r="B81" i="6"/>
  <c r="A76" i="6"/>
  <c r="G108" i="8"/>
  <c r="F107" i="9"/>
  <c r="F105" i="8"/>
  <c r="F101" i="8"/>
  <c r="G97" i="8"/>
  <c r="F97" i="8"/>
  <c r="G93" i="8"/>
  <c r="F93" i="8"/>
  <c r="G89" i="8"/>
  <c r="F89" i="8"/>
  <c r="G85" i="8"/>
  <c r="F85" i="8"/>
  <c r="G81" i="8"/>
  <c r="F81" i="8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AG74" i="7"/>
  <c r="AH75" i="6" s="1"/>
  <c r="AF74" i="7"/>
  <c r="AG75" i="6" s="1"/>
  <c r="AE74" i="7"/>
  <c r="AF75" i="6" s="1"/>
  <c r="AD74" i="7"/>
  <c r="AE75" i="6" s="1"/>
  <c r="AC74" i="7"/>
  <c r="AD75" i="6" s="1"/>
  <c r="AB74" i="7"/>
  <c r="AC75" i="6" s="1"/>
  <c r="AA74" i="7"/>
  <c r="AB75" i="6" s="1"/>
  <c r="Z74" i="7"/>
  <c r="AA75" i="6" s="1"/>
  <c r="Y74" i="7"/>
  <c r="X74" i="7"/>
  <c r="Y75" i="6" s="1"/>
  <c r="W74" i="7"/>
  <c r="X75" i="6" s="1"/>
  <c r="V74" i="7"/>
  <c r="W75" i="6" s="1"/>
  <c r="U74" i="7"/>
  <c r="V75" i="6" s="1"/>
  <c r="T74" i="7"/>
  <c r="U75" i="6" s="1"/>
  <c r="S74" i="7"/>
  <c r="T75" i="6" s="1"/>
  <c r="R74" i="7"/>
  <c r="S75" i="6" s="1"/>
  <c r="Q74" i="7"/>
  <c r="P74" i="7"/>
  <c r="O74" i="7"/>
  <c r="N75" i="6" s="1"/>
  <c r="N74" i="7"/>
  <c r="M75" i="6" s="1"/>
  <c r="M74" i="7"/>
  <c r="L75" i="6" s="1"/>
  <c r="L74" i="7"/>
  <c r="K75" i="6" s="1"/>
  <c r="K74" i="7"/>
  <c r="J75" i="6" s="1"/>
  <c r="J74" i="7"/>
  <c r="I75" i="6" s="1"/>
  <c r="I74" i="7"/>
  <c r="H75" i="6" s="1"/>
  <c r="H74" i="7"/>
  <c r="G75" i="6" s="1"/>
  <c r="G74" i="7"/>
  <c r="F75" i="6" s="1"/>
  <c r="F74" i="7"/>
  <c r="E75" i="6" s="1"/>
  <c r="E74" i="7"/>
  <c r="D75" i="6" s="1"/>
  <c r="D74" i="7"/>
  <c r="C75" i="6" s="1"/>
  <c r="C74" i="7"/>
  <c r="B75" i="6" s="1"/>
  <c r="B75" i="7"/>
  <c r="B74" i="7"/>
  <c r="A75" i="6" s="1"/>
  <c r="E73" i="7"/>
  <c r="F73" i="7" s="1"/>
  <c r="G73" i="7" s="1"/>
  <c r="H73" i="7" s="1"/>
  <c r="I73" i="7" s="1"/>
  <c r="J73" i="7" s="1"/>
  <c r="K73" i="7" s="1"/>
  <c r="L73" i="7" s="1"/>
  <c r="M73" i="7" s="1"/>
  <c r="N73" i="7" s="1"/>
  <c r="O73" i="7" s="1"/>
  <c r="P73" i="7" s="1"/>
  <c r="Q73" i="7" s="1"/>
  <c r="R73" i="7" s="1"/>
  <c r="S73" i="7" s="1"/>
  <c r="T73" i="7" s="1"/>
  <c r="U73" i="7" s="1"/>
  <c r="V73" i="7" s="1"/>
  <c r="W73" i="7" s="1"/>
  <c r="X73" i="7" s="1"/>
  <c r="Y73" i="7" s="1"/>
  <c r="Z73" i="7" s="1"/>
  <c r="AA73" i="7" s="1"/>
  <c r="AB73" i="7" s="1"/>
  <c r="AC73" i="7" s="1"/>
  <c r="AD73" i="7" s="1"/>
  <c r="AE73" i="7" s="1"/>
  <c r="AF73" i="7" s="1"/>
  <c r="AG73" i="7" s="1"/>
  <c r="B71" i="8"/>
  <c r="B73" i="8" s="1"/>
  <c r="B76" i="6" s="1"/>
  <c r="U74" i="8"/>
  <c r="AF72" i="8"/>
  <c r="AF74" i="8" s="1"/>
  <c r="AE72" i="8"/>
  <c r="AE74" i="8" s="1"/>
  <c r="AD72" i="8"/>
  <c r="AD74" i="8" s="1"/>
  <c r="AC72" i="8"/>
  <c r="AC74" i="8" s="1"/>
  <c r="AB72" i="8"/>
  <c r="AB74" i="8" s="1"/>
  <c r="AA72" i="8"/>
  <c r="AA74" i="8" s="1"/>
  <c r="Z72" i="8"/>
  <c r="Z74" i="8" s="1"/>
  <c r="Y72" i="8"/>
  <c r="Y74" i="8" s="1"/>
  <c r="X72" i="8"/>
  <c r="X74" i="8" s="1"/>
  <c r="W72" i="8"/>
  <c r="W74" i="8" s="1"/>
  <c r="V72" i="8"/>
  <c r="V74" i="8" s="1"/>
  <c r="U72" i="8"/>
  <c r="T72" i="8"/>
  <c r="T74" i="8" s="1"/>
  <c r="S72" i="8"/>
  <c r="S74" i="8" s="1"/>
  <c r="R72" i="8"/>
  <c r="R74" i="8" s="1"/>
  <c r="Q72" i="8"/>
  <c r="Q74" i="8" s="1"/>
  <c r="P72" i="8"/>
  <c r="P74" i="8" s="1"/>
  <c r="O72" i="8"/>
  <c r="O74" i="8" s="1"/>
  <c r="N72" i="8"/>
  <c r="N74" i="8" s="1"/>
  <c r="M72" i="8"/>
  <c r="M74" i="8" s="1"/>
  <c r="L72" i="8"/>
  <c r="L74" i="8" s="1"/>
  <c r="K72" i="8"/>
  <c r="K74" i="8" s="1"/>
  <c r="J72" i="8"/>
  <c r="J74" i="8" s="1"/>
  <c r="I72" i="8"/>
  <c r="I74" i="8" s="1"/>
  <c r="H72" i="8"/>
  <c r="H74" i="8" s="1"/>
  <c r="G72" i="8"/>
  <c r="G74" i="8" s="1"/>
  <c r="F72" i="8"/>
  <c r="F74" i="8" s="1"/>
  <c r="E72" i="8"/>
  <c r="E74" i="8" s="1"/>
  <c r="D72" i="8"/>
  <c r="D74" i="8" s="1"/>
  <c r="C72" i="8"/>
  <c r="C74" i="8" s="1"/>
  <c r="B72" i="8"/>
  <c r="B74" i="8" s="1"/>
  <c r="A72" i="8"/>
  <c r="AF71" i="8"/>
  <c r="AF73" i="8" s="1"/>
  <c r="AH76" i="6" s="1"/>
  <c r="AE71" i="8"/>
  <c r="AE73" i="8" s="1"/>
  <c r="AG76" i="6" s="1"/>
  <c r="AD71" i="8"/>
  <c r="AD73" i="8" s="1"/>
  <c r="AF76" i="6" s="1"/>
  <c r="AC71" i="8"/>
  <c r="AC73" i="8" s="1"/>
  <c r="AE76" i="6" s="1"/>
  <c r="AB71" i="8"/>
  <c r="AB73" i="8" s="1"/>
  <c r="AD76" i="6" s="1"/>
  <c r="AA71" i="8"/>
  <c r="AA73" i="8" s="1"/>
  <c r="AC76" i="6" s="1"/>
  <c r="Z71" i="8"/>
  <c r="Z73" i="8" s="1"/>
  <c r="Y71" i="8"/>
  <c r="Y73" i="8" s="1"/>
  <c r="AA76" i="6" s="1"/>
  <c r="X71" i="8"/>
  <c r="X73" i="8" s="1"/>
  <c r="Z76" i="6" s="1"/>
  <c r="W71" i="8"/>
  <c r="W73" i="8" s="1"/>
  <c r="Y76" i="6" s="1"/>
  <c r="V71" i="8"/>
  <c r="V73" i="8" s="1"/>
  <c r="X76" i="6" s="1"/>
  <c r="U71" i="8"/>
  <c r="U73" i="8" s="1"/>
  <c r="W76" i="6" s="1"/>
  <c r="T71" i="8"/>
  <c r="T73" i="8" s="1"/>
  <c r="V76" i="6" s="1"/>
  <c r="S71" i="8"/>
  <c r="S73" i="8" s="1"/>
  <c r="U76" i="6" s="1"/>
  <c r="R71" i="8"/>
  <c r="R73" i="8" s="1"/>
  <c r="T76" i="6" s="1"/>
  <c r="Q71" i="8"/>
  <c r="Q73" i="8" s="1"/>
  <c r="S76" i="6" s="1"/>
  <c r="P71" i="8"/>
  <c r="P73" i="8" s="1"/>
  <c r="R76" i="6" s="1"/>
  <c r="O71" i="8"/>
  <c r="O73" i="8" s="1"/>
  <c r="Q76" i="6" s="1"/>
  <c r="N71" i="8"/>
  <c r="N73" i="8" s="1"/>
  <c r="N76" i="6" s="1"/>
  <c r="M71" i="8"/>
  <c r="M73" i="8" s="1"/>
  <c r="M76" i="6" s="1"/>
  <c r="L71" i="8"/>
  <c r="L73" i="8" s="1"/>
  <c r="L76" i="6" s="1"/>
  <c r="K71" i="8"/>
  <c r="K73" i="8" s="1"/>
  <c r="K76" i="6" s="1"/>
  <c r="J71" i="8"/>
  <c r="J73" i="8" s="1"/>
  <c r="I71" i="8"/>
  <c r="I73" i="8" s="1"/>
  <c r="I76" i="6" s="1"/>
  <c r="H71" i="8"/>
  <c r="H73" i="8" s="1"/>
  <c r="H76" i="6" s="1"/>
  <c r="G71" i="8"/>
  <c r="G73" i="8" s="1"/>
  <c r="G76" i="6" s="1"/>
  <c r="F71" i="8"/>
  <c r="F73" i="8" s="1"/>
  <c r="F76" i="6" s="1"/>
  <c r="E71" i="8"/>
  <c r="E73" i="8" s="1"/>
  <c r="E76" i="6" s="1"/>
  <c r="D71" i="8"/>
  <c r="D73" i="8" s="1"/>
  <c r="D76" i="6" s="1"/>
  <c r="C71" i="8"/>
  <c r="C73" i="8" s="1"/>
  <c r="C76" i="6" s="1"/>
  <c r="A71" i="8"/>
  <c r="D70" i="8"/>
  <c r="E70" i="8" s="1"/>
  <c r="F70" i="8" s="1"/>
  <c r="G70" i="8" s="1"/>
  <c r="H70" i="8" s="1"/>
  <c r="I70" i="8" s="1"/>
  <c r="J70" i="8" s="1"/>
  <c r="K70" i="8" s="1"/>
  <c r="L70" i="8" s="1"/>
  <c r="M70" i="8" s="1"/>
  <c r="N70" i="8" s="1"/>
  <c r="O70" i="8" s="1"/>
  <c r="P70" i="8" s="1"/>
  <c r="Q70" i="8" s="1"/>
  <c r="R70" i="8" s="1"/>
  <c r="S70" i="8" s="1"/>
  <c r="T70" i="8" s="1"/>
  <c r="U70" i="8" s="1"/>
  <c r="V70" i="8" s="1"/>
  <c r="W70" i="8" s="1"/>
  <c r="X70" i="8" s="1"/>
  <c r="Y70" i="8" s="1"/>
  <c r="Z70" i="8" s="1"/>
  <c r="AA70" i="8" s="1"/>
  <c r="AB70" i="8" s="1"/>
  <c r="AC70" i="8" s="1"/>
  <c r="AD70" i="8" s="1"/>
  <c r="AE70" i="8" s="1"/>
  <c r="AF70" i="8" s="1"/>
  <c r="B70" i="8"/>
  <c r="AC74" i="9"/>
  <c r="U74" i="9"/>
  <c r="M74" i="9"/>
  <c r="E74" i="9"/>
  <c r="AB73" i="9"/>
  <c r="AD77" i="6" s="1"/>
  <c r="Y73" i="9"/>
  <c r="AA77" i="6" s="1"/>
  <c r="Q73" i="9"/>
  <c r="S77" i="6" s="1"/>
  <c r="I73" i="9"/>
  <c r="I77" i="6" s="1"/>
  <c r="D73" i="9"/>
  <c r="D77" i="6" s="1"/>
  <c r="AF72" i="9"/>
  <c r="AF74" i="9" s="1"/>
  <c r="AE72" i="9"/>
  <c r="AE74" i="9" s="1"/>
  <c r="AD72" i="9"/>
  <c r="AD74" i="9" s="1"/>
  <c r="AC72" i="9"/>
  <c r="AB72" i="9"/>
  <c r="AB74" i="9" s="1"/>
  <c r="AA72" i="9"/>
  <c r="AA74" i="9" s="1"/>
  <c r="Z72" i="9"/>
  <c r="Z74" i="9" s="1"/>
  <c r="Y72" i="9"/>
  <c r="Y74" i="9" s="1"/>
  <c r="X72" i="9"/>
  <c r="X74" i="9" s="1"/>
  <c r="W72" i="9"/>
  <c r="W74" i="9" s="1"/>
  <c r="V72" i="9"/>
  <c r="V74" i="9" s="1"/>
  <c r="U72" i="9"/>
  <c r="T72" i="9"/>
  <c r="T74" i="9" s="1"/>
  <c r="S72" i="9"/>
  <c r="S74" i="9" s="1"/>
  <c r="R72" i="9"/>
  <c r="R74" i="9" s="1"/>
  <c r="Q72" i="9"/>
  <c r="Q74" i="9" s="1"/>
  <c r="P72" i="9"/>
  <c r="P74" i="9" s="1"/>
  <c r="O72" i="9"/>
  <c r="O74" i="9" s="1"/>
  <c r="N72" i="9"/>
  <c r="N74" i="9" s="1"/>
  <c r="M72" i="9"/>
  <c r="L72" i="9"/>
  <c r="L74" i="9" s="1"/>
  <c r="K72" i="9"/>
  <c r="K74" i="9" s="1"/>
  <c r="J72" i="9"/>
  <c r="J74" i="9" s="1"/>
  <c r="I72" i="9"/>
  <c r="I74" i="9" s="1"/>
  <c r="H72" i="9"/>
  <c r="H74" i="9" s="1"/>
  <c r="G72" i="9"/>
  <c r="G74" i="9" s="1"/>
  <c r="F72" i="9"/>
  <c r="F74" i="9" s="1"/>
  <c r="E72" i="9"/>
  <c r="AF71" i="9"/>
  <c r="AF73" i="9" s="1"/>
  <c r="AH77" i="6" s="1"/>
  <c r="AE71" i="9"/>
  <c r="AE73" i="9" s="1"/>
  <c r="AG77" i="6" s="1"/>
  <c r="AD71" i="9"/>
  <c r="AD73" i="9" s="1"/>
  <c r="AF77" i="6" s="1"/>
  <c r="AC71" i="9"/>
  <c r="AC73" i="9" s="1"/>
  <c r="AE77" i="6" s="1"/>
  <c r="AB71" i="9"/>
  <c r="AA71" i="9"/>
  <c r="AA73" i="9" s="1"/>
  <c r="AC77" i="6" s="1"/>
  <c r="Z71" i="9"/>
  <c r="Z73" i="9" s="1"/>
  <c r="AB77" i="6" s="1"/>
  <c r="Y71" i="9"/>
  <c r="X71" i="9"/>
  <c r="X73" i="9" s="1"/>
  <c r="Z77" i="6" s="1"/>
  <c r="W71" i="9"/>
  <c r="W73" i="9" s="1"/>
  <c r="Y77" i="6" s="1"/>
  <c r="V71" i="9"/>
  <c r="V73" i="9" s="1"/>
  <c r="X77" i="6" s="1"/>
  <c r="U71" i="9"/>
  <c r="U73" i="9" s="1"/>
  <c r="W77" i="6" s="1"/>
  <c r="T71" i="9"/>
  <c r="T73" i="9" s="1"/>
  <c r="V77" i="6" s="1"/>
  <c r="S71" i="9"/>
  <c r="S73" i="9" s="1"/>
  <c r="U77" i="6" s="1"/>
  <c r="R71" i="9"/>
  <c r="R73" i="9" s="1"/>
  <c r="T77" i="6" s="1"/>
  <c r="Q71" i="9"/>
  <c r="P71" i="9"/>
  <c r="P73" i="9" s="1"/>
  <c r="R77" i="6" s="1"/>
  <c r="O71" i="9"/>
  <c r="O73" i="9" s="1"/>
  <c r="Q77" i="6" s="1"/>
  <c r="N71" i="9"/>
  <c r="N73" i="9" s="1"/>
  <c r="N77" i="6" s="1"/>
  <c r="M71" i="9"/>
  <c r="M73" i="9" s="1"/>
  <c r="M77" i="6" s="1"/>
  <c r="L71" i="9"/>
  <c r="L73" i="9" s="1"/>
  <c r="L77" i="6" s="1"/>
  <c r="K71" i="9"/>
  <c r="K73" i="9" s="1"/>
  <c r="K77" i="6" s="1"/>
  <c r="J71" i="9"/>
  <c r="J73" i="9" s="1"/>
  <c r="J77" i="6" s="1"/>
  <c r="I71" i="9"/>
  <c r="H71" i="9"/>
  <c r="H73" i="9" s="1"/>
  <c r="H77" i="6" s="1"/>
  <c r="G71" i="9"/>
  <c r="G73" i="9" s="1"/>
  <c r="G77" i="6" s="1"/>
  <c r="F71" i="9"/>
  <c r="F73" i="9" s="1"/>
  <c r="F77" i="6" s="1"/>
  <c r="E71" i="9"/>
  <c r="E73" i="9" s="1"/>
  <c r="E77" i="6" s="1"/>
  <c r="D72" i="9"/>
  <c r="D74" i="9" s="1"/>
  <c r="D71" i="9"/>
  <c r="D70" i="9"/>
  <c r="E70" i="9" s="1"/>
  <c r="F70" i="9" s="1"/>
  <c r="G70" i="9" s="1"/>
  <c r="H70" i="9" s="1"/>
  <c r="I70" i="9" s="1"/>
  <c r="J70" i="9" s="1"/>
  <c r="K70" i="9" s="1"/>
  <c r="L70" i="9" s="1"/>
  <c r="M70" i="9" s="1"/>
  <c r="N70" i="9" s="1"/>
  <c r="O70" i="9" s="1"/>
  <c r="P70" i="9" s="1"/>
  <c r="Q70" i="9" s="1"/>
  <c r="R70" i="9" s="1"/>
  <c r="S70" i="9" s="1"/>
  <c r="T70" i="9" s="1"/>
  <c r="U70" i="9" s="1"/>
  <c r="V70" i="9" s="1"/>
  <c r="W70" i="9" s="1"/>
  <c r="X70" i="9" s="1"/>
  <c r="Y70" i="9" s="1"/>
  <c r="Z70" i="9" s="1"/>
  <c r="AA70" i="9" s="1"/>
  <c r="AB70" i="9" s="1"/>
  <c r="AC70" i="9" s="1"/>
  <c r="AD70" i="9" s="1"/>
  <c r="AE70" i="9" s="1"/>
  <c r="AF70" i="9" s="1"/>
  <c r="C72" i="9"/>
  <c r="C74" i="9" s="1"/>
  <c r="C71" i="9"/>
  <c r="C73" i="9" s="1"/>
  <c r="C77" i="6" s="1"/>
  <c r="B72" i="9"/>
  <c r="B74" i="9" s="1"/>
  <c r="A72" i="9"/>
  <c r="A71" i="9"/>
  <c r="B71" i="9"/>
  <c r="B73" i="9" s="1"/>
  <c r="B77" i="6" s="1"/>
  <c r="B70" i="9"/>
  <c r="F49" i="10"/>
  <c r="G49" i="10" s="1"/>
  <c r="H49" i="10" s="1"/>
  <c r="I49" i="10" s="1"/>
  <c r="J49" i="10" s="1"/>
  <c r="K49" i="10" s="1"/>
  <c r="L49" i="10" s="1"/>
  <c r="M49" i="10" s="1"/>
  <c r="N49" i="10" s="1"/>
  <c r="O49" i="10" s="1"/>
  <c r="P49" i="10" s="1"/>
  <c r="Q49" i="10" s="1"/>
  <c r="R49" i="10" s="1"/>
  <c r="S49" i="10" s="1"/>
  <c r="T49" i="10" s="1"/>
  <c r="U49" i="10" s="1"/>
  <c r="V49" i="10" s="1"/>
  <c r="W49" i="10" s="1"/>
  <c r="X49" i="10" s="1"/>
  <c r="Y49" i="10" s="1"/>
  <c r="Z49" i="10" s="1"/>
  <c r="AA49" i="10" s="1"/>
  <c r="AB49" i="10" s="1"/>
  <c r="AC49" i="10" s="1"/>
  <c r="AD49" i="10" s="1"/>
  <c r="AE49" i="10" s="1"/>
  <c r="AF49" i="10" s="1"/>
  <c r="AG49" i="10" s="1"/>
  <c r="AH49" i="10" s="1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AH50" i="10"/>
  <c r="AG50" i="10"/>
  <c r="AF50" i="10"/>
  <c r="AE50" i="10"/>
  <c r="AE53" i="10" s="1"/>
  <c r="AE78" i="6" s="1"/>
  <c r="AD50" i="10"/>
  <c r="AC50" i="10"/>
  <c r="AB50" i="10"/>
  <c r="AB53" i="10" s="1"/>
  <c r="AB78" i="6" s="1"/>
  <c r="AA50" i="10"/>
  <c r="AA53" i="10" s="1"/>
  <c r="AA78" i="6" s="1"/>
  <c r="Z50" i="10"/>
  <c r="Y50" i="10"/>
  <c r="X50" i="10"/>
  <c r="W50" i="10"/>
  <c r="W53" i="10" s="1"/>
  <c r="W78" i="6" s="1"/>
  <c r="V50" i="10"/>
  <c r="U50" i="10"/>
  <c r="T50" i="10"/>
  <c r="T53" i="10" s="1"/>
  <c r="T78" i="6" s="1"/>
  <c r="S50" i="10"/>
  <c r="S53" i="10" s="1"/>
  <c r="S78" i="6" s="1"/>
  <c r="R50" i="10"/>
  <c r="Q50" i="10"/>
  <c r="P50" i="10"/>
  <c r="O50" i="10"/>
  <c r="O53" i="10" s="1"/>
  <c r="M78" i="6" s="1"/>
  <c r="N50" i="10"/>
  <c r="M50" i="10"/>
  <c r="L50" i="10"/>
  <c r="L53" i="10" s="1"/>
  <c r="J78" i="6" s="1"/>
  <c r="K50" i="10"/>
  <c r="K53" i="10" s="1"/>
  <c r="I78" i="6" s="1"/>
  <c r="J50" i="10"/>
  <c r="I50" i="10"/>
  <c r="H50" i="10"/>
  <c r="G50" i="10"/>
  <c r="G53" i="10" s="1"/>
  <c r="E78" i="6" s="1"/>
  <c r="F50" i="10"/>
  <c r="E50" i="10"/>
  <c r="D51" i="10"/>
  <c r="D50" i="10"/>
  <c r="D53" i="10" s="1"/>
  <c r="B78" i="6" s="1"/>
  <c r="C52" i="10"/>
  <c r="C51" i="10"/>
  <c r="C50" i="10"/>
  <c r="D49" i="10"/>
  <c r="Y49" i="18" l="1"/>
  <c r="Y48" i="18"/>
  <c r="AG1" i="50"/>
  <c r="AG2" i="50" s="1"/>
  <c r="AG3" i="50" s="1"/>
  <c r="AG6" i="50" s="1"/>
  <c r="AG7" i="50" s="1"/>
  <c r="AE1" i="18"/>
  <c r="AE4" i="18" s="1"/>
  <c r="AE5" i="18" s="1"/>
  <c r="AE2" i="18" s="1"/>
  <c r="AE52" i="18" s="1"/>
  <c r="AF1" i="50"/>
  <c r="AF2" i="50" s="1"/>
  <c r="AF3" i="50" s="1"/>
  <c r="AF6" i="50" s="1"/>
  <c r="AF7" i="50" s="1"/>
  <c r="AE1" i="19"/>
  <c r="AE4" i="19" s="1"/>
  <c r="AE5" i="19" s="1"/>
  <c r="AE2" i="19" s="1"/>
  <c r="AE52" i="19" s="1"/>
  <c r="F25" i="19"/>
  <c r="F49" i="19"/>
  <c r="C83" i="19"/>
  <c r="J50" i="31" s="1"/>
  <c r="AE1" i="17"/>
  <c r="AE4" i="17" s="1"/>
  <c r="AE5" i="17" s="1"/>
  <c r="AE2" i="17" s="1"/>
  <c r="AE52" i="17" s="1"/>
  <c r="AH1" i="50"/>
  <c r="AH2" i="50" s="1"/>
  <c r="AH3" i="50" s="1"/>
  <c r="AH6" i="50" s="1"/>
  <c r="N95" i="6"/>
  <c r="N104" i="6"/>
  <c r="E85" i="7"/>
  <c r="C14" i="40"/>
  <c r="E93" i="7"/>
  <c r="C22" i="40"/>
  <c r="E101" i="7"/>
  <c r="C41" i="17" s="1"/>
  <c r="C30" i="40"/>
  <c r="C39" i="40"/>
  <c r="AB15" i="39"/>
  <c r="E100" i="7"/>
  <c r="C29" i="40"/>
  <c r="E87" i="7"/>
  <c r="C27" i="17" s="1"/>
  <c r="C16" i="40"/>
  <c r="E95" i="7"/>
  <c r="C24" i="40"/>
  <c r="E103" i="7"/>
  <c r="C32" i="40"/>
  <c r="C37" i="40"/>
  <c r="C20" i="42"/>
  <c r="C9" i="40"/>
  <c r="E88" i="7"/>
  <c r="C17" i="40"/>
  <c r="E96" i="7"/>
  <c r="C25" i="40"/>
  <c r="E104" i="7"/>
  <c r="C33" i="40"/>
  <c r="E102" i="7"/>
  <c r="C31" i="40"/>
  <c r="E92" i="7"/>
  <c r="C32" i="42" s="1"/>
  <c r="C21" i="40"/>
  <c r="E94" i="7"/>
  <c r="C23" i="40"/>
  <c r="E82" i="7"/>
  <c r="C22" i="42" s="1"/>
  <c r="C11" i="40"/>
  <c r="E90" i="7"/>
  <c r="C30" i="42" s="1"/>
  <c r="C19" i="40"/>
  <c r="E98" i="7"/>
  <c r="C38" i="42" s="1"/>
  <c r="C27" i="40"/>
  <c r="E106" i="7"/>
  <c r="C46" i="42" s="1"/>
  <c r="C35" i="40"/>
  <c r="E84" i="7"/>
  <c r="C13" i="40"/>
  <c r="E86" i="7"/>
  <c r="C15" i="40"/>
  <c r="E83" i="7"/>
  <c r="C23" i="42" s="1"/>
  <c r="C12" i="40"/>
  <c r="E91" i="7"/>
  <c r="C31" i="42" s="1"/>
  <c r="C20" i="40"/>
  <c r="E99" i="7"/>
  <c r="C39" i="42" s="1"/>
  <c r="C28" i="40"/>
  <c r="E107" i="7"/>
  <c r="C47" i="42" s="1"/>
  <c r="C36" i="40"/>
  <c r="M15" i="17"/>
  <c r="N15" i="17"/>
  <c r="AP65" i="31"/>
  <c r="DP11" i="31"/>
  <c r="E4" i="18"/>
  <c r="E5" i="18" s="1"/>
  <c r="AF7" i="31"/>
  <c r="E4" i="19"/>
  <c r="E5" i="19" s="1"/>
  <c r="L7" i="31"/>
  <c r="C102" i="6"/>
  <c r="N102" i="6" s="1"/>
  <c r="L125" i="8"/>
  <c r="L117" i="8"/>
  <c r="L119" i="8"/>
  <c r="L120" i="8" s="1"/>
  <c r="L118" i="8"/>
  <c r="C21" i="42"/>
  <c r="E89" i="7"/>
  <c r="C29" i="42" s="1"/>
  <c r="E97" i="7"/>
  <c r="C37" i="42" s="1"/>
  <c r="E105" i="7"/>
  <c r="C45" i="42" s="1"/>
  <c r="D118" i="8"/>
  <c r="D119" i="8"/>
  <c r="D120" i="8" s="1"/>
  <c r="D125" i="8"/>
  <c r="D117" i="8"/>
  <c r="X126" i="8"/>
  <c r="X128" i="8" s="1"/>
  <c r="AF126" i="8"/>
  <c r="AF128" i="8" s="1"/>
  <c r="T125" i="8"/>
  <c r="T119" i="8"/>
  <c r="T120" i="8" s="1"/>
  <c r="T117" i="8"/>
  <c r="B126" i="8"/>
  <c r="U125" i="8"/>
  <c r="U126" i="8" s="1"/>
  <c r="U128" i="8" s="1"/>
  <c r="C22" i="18"/>
  <c r="C22" i="33"/>
  <c r="C22" i="17"/>
  <c r="C30" i="18"/>
  <c r="C30" i="33"/>
  <c r="C30" i="34"/>
  <c r="C30" i="17"/>
  <c r="C30" i="19"/>
  <c r="C38" i="17"/>
  <c r="C46" i="18"/>
  <c r="C46" i="33"/>
  <c r="C46" i="34"/>
  <c r="C46" i="17"/>
  <c r="C46" i="19"/>
  <c r="AC118" i="8"/>
  <c r="E53" i="10"/>
  <c r="C78" i="6" s="1"/>
  <c r="M53" i="10"/>
  <c r="K78" i="6" s="1"/>
  <c r="U53" i="10"/>
  <c r="U78" i="6" s="1"/>
  <c r="AC53" i="10"/>
  <c r="AC78" i="6" s="1"/>
  <c r="F119" i="8"/>
  <c r="F120" i="8" s="1"/>
  <c r="V119" i="8"/>
  <c r="V120" i="8" s="1"/>
  <c r="AD118" i="8"/>
  <c r="AE119" i="8"/>
  <c r="AE120" i="8" s="1"/>
  <c r="J126" i="8"/>
  <c r="J128" i="8" s="1"/>
  <c r="Z126" i="8"/>
  <c r="Z128" i="8" s="1"/>
  <c r="X125" i="8"/>
  <c r="C31" i="19"/>
  <c r="C31" i="33"/>
  <c r="C31" i="34"/>
  <c r="C31" i="18"/>
  <c r="C31" i="17"/>
  <c r="C39" i="19"/>
  <c r="C39" i="33"/>
  <c r="C39" i="34"/>
  <c r="C39" i="18"/>
  <c r="C39" i="17"/>
  <c r="C47" i="19"/>
  <c r="C47" i="33"/>
  <c r="C47" i="34"/>
  <c r="C47" i="18"/>
  <c r="C47" i="17"/>
  <c r="AD53" i="10"/>
  <c r="AD78" i="6" s="1"/>
  <c r="S126" i="8"/>
  <c r="S128" i="8" s="1"/>
  <c r="C24" i="17"/>
  <c r="C24" i="18"/>
  <c r="C24" i="19"/>
  <c r="C24" i="33"/>
  <c r="C24" i="34"/>
  <c r="C40" i="17"/>
  <c r="C40" i="18"/>
  <c r="C40" i="19"/>
  <c r="C40" i="34"/>
  <c r="C40" i="33"/>
  <c r="C25" i="18"/>
  <c r="C25" i="19"/>
  <c r="C25" i="17"/>
  <c r="C25" i="34"/>
  <c r="C25" i="33"/>
  <c r="C33" i="18"/>
  <c r="C33" i="19"/>
  <c r="C33" i="17"/>
  <c r="C33" i="34"/>
  <c r="C33" i="33"/>
  <c r="C41" i="18"/>
  <c r="C41" i="33"/>
  <c r="C41" i="34"/>
  <c r="E109" i="7"/>
  <c r="N53" i="10"/>
  <c r="L78" i="6" s="1"/>
  <c r="AC125" i="8"/>
  <c r="H53" i="10"/>
  <c r="F78" i="6" s="1"/>
  <c r="P53" i="10"/>
  <c r="N78" i="6" s="1"/>
  <c r="X53" i="10"/>
  <c r="X78" i="6" s="1"/>
  <c r="AF53" i="10"/>
  <c r="AF78" i="6" s="1"/>
  <c r="Y49" i="19"/>
  <c r="I15" i="31"/>
  <c r="EP15" i="31" s="1"/>
  <c r="AB117" i="8"/>
  <c r="AF125" i="8"/>
  <c r="C26" i="33"/>
  <c r="C26" i="34"/>
  <c r="C26" i="17"/>
  <c r="C26" i="18"/>
  <c r="C26" i="19"/>
  <c r="C34" i="33"/>
  <c r="C34" i="34"/>
  <c r="C34" i="17"/>
  <c r="C34" i="18"/>
  <c r="C34" i="19"/>
  <c r="C42" i="17"/>
  <c r="C42" i="33"/>
  <c r="C42" i="34"/>
  <c r="C42" i="18"/>
  <c r="C42" i="19"/>
  <c r="C27" i="18"/>
  <c r="C35" i="17"/>
  <c r="C35" i="34"/>
  <c r="C35" i="19"/>
  <c r="C43" i="17"/>
  <c r="C43" i="18"/>
  <c r="C43" i="33"/>
  <c r="C43" i="34"/>
  <c r="C43" i="19"/>
  <c r="F53" i="10"/>
  <c r="D78" i="6" s="1"/>
  <c r="V53" i="10"/>
  <c r="V78" i="6" s="1"/>
  <c r="I53" i="10"/>
  <c r="G78" i="6" s="1"/>
  <c r="G80" i="6" s="1"/>
  <c r="G82" i="6" s="1"/>
  <c r="Q53" i="10"/>
  <c r="Q78" i="6" s="1"/>
  <c r="Y53" i="10"/>
  <c r="Y78" i="6" s="1"/>
  <c r="AG53" i="10"/>
  <c r="AG78" i="6" s="1"/>
  <c r="X14" i="31"/>
  <c r="M119" i="8"/>
  <c r="M120" i="8" s="1"/>
  <c r="P125" i="8"/>
  <c r="P126" i="8" s="1"/>
  <c r="P128" i="8" s="1"/>
  <c r="J53" i="10"/>
  <c r="H78" i="6" s="1"/>
  <c r="R53" i="10"/>
  <c r="R78" i="6" s="1"/>
  <c r="Z53" i="10"/>
  <c r="Z78" i="6" s="1"/>
  <c r="AH53" i="10"/>
  <c r="AH78" i="6" s="1"/>
  <c r="C103" i="6"/>
  <c r="N103" i="6" s="1"/>
  <c r="Y49" i="17"/>
  <c r="C119" i="8"/>
  <c r="C120" i="8" s="1"/>
  <c r="K119" i="8"/>
  <c r="K120" i="8" s="1"/>
  <c r="S119" i="8"/>
  <c r="S120" i="8" s="1"/>
  <c r="B117" i="8"/>
  <c r="Q117" i="8"/>
  <c r="H118" i="8"/>
  <c r="X118" i="8"/>
  <c r="R125" i="8"/>
  <c r="R126" i="8" s="1"/>
  <c r="R128" i="8" s="1"/>
  <c r="C28" i="19"/>
  <c r="C28" i="33"/>
  <c r="C28" i="17"/>
  <c r="C28" i="18"/>
  <c r="C28" i="34"/>
  <c r="C36" i="19"/>
  <c r="C36" i="33"/>
  <c r="C36" i="17"/>
  <c r="C36" i="18"/>
  <c r="C36" i="34"/>
  <c r="C44" i="33"/>
  <c r="C44" i="19"/>
  <c r="C44" i="17"/>
  <c r="C44" i="18"/>
  <c r="C44" i="34"/>
  <c r="C96" i="6"/>
  <c r="N96" i="6" s="1"/>
  <c r="AR16" i="31"/>
  <c r="N16" i="31"/>
  <c r="M15" i="19"/>
  <c r="E4" i="17"/>
  <c r="E5" i="17" s="1"/>
  <c r="AP7" i="31"/>
  <c r="Y50" i="18"/>
  <c r="M12" i="18"/>
  <c r="N12" i="18" s="1"/>
  <c r="N15" i="18" s="1"/>
  <c r="N48" i="18"/>
  <c r="AE15" i="31"/>
  <c r="G49" i="18"/>
  <c r="G48" i="18"/>
  <c r="AF15" i="31"/>
  <c r="DO9" i="31" s="1"/>
  <c r="N11" i="18"/>
  <c r="O48" i="17"/>
  <c r="G48" i="17"/>
  <c r="N11" i="17"/>
  <c r="N14" i="17" s="1"/>
  <c r="F23" i="17"/>
  <c r="F31" i="17"/>
  <c r="AC126" i="8"/>
  <c r="AC128" i="8" s="1"/>
  <c r="F39" i="17"/>
  <c r="N50" i="17"/>
  <c r="Q50" i="17" s="1"/>
  <c r="M14" i="19"/>
  <c r="B128" i="8"/>
  <c r="F46" i="17"/>
  <c r="H46" i="17" s="1"/>
  <c r="G117" i="8"/>
  <c r="G125" i="8"/>
  <c r="G126" i="8" s="1"/>
  <c r="G128" i="8" s="1"/>
  <c r="G118" i="8"/>
  <c r="G119" i="8"/>
  <c r="G120" i="8" s="1"/>
  <c r="O117" i="8"/>
  <c r="O125" i="8"/>
  <c r="O126" i="8" s="1"/>
  <c r="O128" i="8" s="1"/>
  <c r="O118" i="8"/>
  <c r="O119" i="8"/>
  <c r="O120" i="8" s="1"/>
  <c r="W117" i="8"/>
  <c r="W125" i="8"/>
  <c r="W126" i="8" s="1"/>
  <c r="W128" i="8" s="1"/>
  <c r="W118" i="8"/>
  <c r="W119" i="8"/>
  <c r="W120" i="8" s="1"/>
  <c r="M118" i="8"/>
  <c r="E119" i="8"/>
  <c r="E120" i="8" s="1"/>
  <c r="U119" i="8"/>
  <c r="U120" i="8" s="1"/>
  <c r="E118" i="8"/>
  <c r="AA118" i="8"/>
  <c r="M125" i="8"/>
  <c r="M126" i="8" s="1"/>
  <c r="M128" i="8" s="1"/>
  <c r="AA125" i="8"/>
  <c r="AA126" i="8" s="1"/>
  <c r="AA128" i="8" s="1"/>
  <c r="F117" i="8"/>
  <c r="F125" i="8"/>
  <c r="F126" i="8" s="1"/>
  <c r="F128" i="8" s="1"/>
  <c r="N117" i="8"/>
  <c r="N125" i="8"/>
  <c r="V117" i="8"/>
  <c r="V125" i="8"/>
  <c r="F118" i="8"/>
  <c r="AB118" i="8"/>
  <c r="AB119" i="8"/>
  <c r="AB120" i="8" s="1"/>
  <c r="D92" i="6"/>
  <c r="O92" i="6" s="1"/>
  <c r="D100" i="6"/>
  <c r="O100" i="6" s="1"/>
  <c r="C108" i="6"/>
  <c r="N108" i="6" s="1"/>
  <c r="D116" i="6"/>
  <c r="O116" i="6" s="1"/>
  <c r="N11" i="19"/>
  <c r="T118" i="8"/>
  <c r="N119" i="8"/>
  <c r="N120" i="8" s="1"/>
  <c r="C126" i="8"/>
  <c r="C128" i="8" s="1"/>
  <c r="E125" i="8"/>
  <c r="E126" i="8" s="1"/>
  <c r="E128" i="8" s="1"/>
  <c r="O49" i="18"/>
  <c r="AA117" i="8"/>
  <c r="U118" i="8"/>
  <c r="D101" i="6"/>
  <c r="O101" i="6" s="1"/>
  <c r="D109" i="6"/>
  <c r="O109" i="6" s="1"/>
  <c r="D117" i="6"/>
  <c r="O117" i="6" s="1"/>
  <c r="AE118" i="8"/>
  <c r="H119" i="8"/>
  <c r="H120" i="8" s="1"/>
  <c r="P119" i="8"/>
  <c r="P120" i="8" s="1"/>
  <c r="X119" i="8"/>
  <c r="X120" i="8" s="1"/>
  <c r="AF119" i="8"/>
  <c r="AF120" i="8" s="1"/>
  <c r="D126" i="8"/>
  <c r="D128" i="8" s="1"/>
  <c r="L126" i="8"/>
  <c r="L128" i="8" s="1"/>
  <c r="T126" i="8"/>
  <c r="T128" i="8" s="1"/>
  <c r="AB126" i="8"/>
  <c r="AB128" i="8" s="1"/>
  <c r="AD125" i="8"/>
  <c r="I119" i="8"/>
  <c r="I120" i="8" s="1"/>
  <c r="Q119" i="8"/>
  <c r="Q120" i="8" s="1"/>
  <c r="Y119" i="8"/>
  <c r="Y120" i="8" s="1"/>
  <c r="AE125" i="8"/>
  <c r="AE126" i="8" s="1"/>
  <c r="AE128" i="8" s="1"/>
  <c r="J119" i="8"/>
  <c r="J120" i="8" s="1"/>
  <c r="R119" i="8"/>
  <c r="R120" i="8" s="1"/>
  <c r="Z119" i="8"/>
  <c r="Z120" i="8" s="1"/>
  <c r="N126" i="8"/>
  <c r="N128" i="8" s="1"/>
  <c r="V126" i="8"/>
  <c r="V128" i="8" s="1"/>
  <c r="AD126" i="8"/>
  <c r="AD128" i="8" s="1"/>
  <c r="C113" i="6"/>
  <c r="N113" i="6" s="1"/>
  <c r="C112" i="6"/>
  <c r="N112" i="6" s="1"/>
  <c r="C99" i="6"/>
  <c r="N99" i="6" s="1"/>
  <c r="M14" i="18"/>
  <c r="N12" i="19"/>
  <c r="N15" i="19" s="1"/>
  <c r="F47" i="19"/>
  <c r="F42" i="19"/>
  <c r="F41" i="19"/>
  <c r="F37" i="19"/>
  <c r="F29" i="19"/>
  <c r="F21" i="19"/>
  <c r="F36" i="19"/>
  <c r="F28" i="19"/>
  <c r="F20" i="19"/>
  <c r="F40" i="19"/>
  <c r="F34" i="19"/>
  <c r="F26" i="19"/>
  <c r="F43" i="19"/>
  <c r="F23" i="19"/>
  <c r="F31" i="19"/>
  <c r="F46" i="19"/>
  <c r="F39" i="19"/>
  <c r="F45" i="19"/>
  <c r="F38" i="19"/>
  <c r="F44" i="19"/>
  <c r="N48" i="19"/>
  <c r="F48" i="19"/>
  <c r="D5" i="19"/>
  <c r="D2" i="19" s="1"/>
  <c r="F27" i="19"/>
  <c r="L17" i="31"/>
  <c r="O49" i="19"/>
  <c r="F30" i="19"/>
  <c r="F22" i="19"/>
  <c r="F33" i="19"/>
  <c r="F35" i="19"/>
  <c r="F24" i="19"/>
  <c r="F32" i="19"/>
  <c r="N49" i="19"/>
  <c r="K17" i="31"/>
  <c r="G48" i="19"/>
  <c r="C84" i="19"/>
  <c r="J51" i="31" s="1"/>
  <c r="F28" i="18"/>
  <c r="F41" i="18"/>
  <c r="F35" i="18"/>
  <c r="F27" i="18"/>
  <c r="F40" i="18"/>
  <c r="F32" i="18"/>
  <c r="F37" i="18"/>
  <c r="F29" i="18"/>
  <c r="F21" i="18"/>
  <c r="F34" i="18"/>
  <c r="F36" i="18"/>
  <c r="F24" i="18"/>
  <c r="F20" i="18"/>
  <c r="M15" i="18"/>
  <c r="F23" i="18"/>
  <c r="F43" i="18"/>
  <c r="F47" i="18"/>
  <c r="F31" i="18"/>
  <c r="F38" i="18"/>
  <c r="F22" i="18"/>
  <c r="F46" i="18"/>
  <c r="F30" i="18"/>
  <c r="F42" i="18"/>
  <c r="F45" i="18"/>
  <c r="F25" i="18"/>
  <c r="F26" i="18"/>
  <c r="F33" i="18"/>
  <c r="F39" i="18"/>
  <c r="F44" i="18"/>
  <c r="AE17" i="31"/>
  <c r="N49" i="18"/>
  <c r="F49" i="18"/>
  <c r="O50" i="18"/>
  <c r="R50" i="18" s="1"/>
  <c r="F48" i="18"/>
  <c r="C83" i="18"/>
  <c r="AD50" i="31" s="1"/>
  <c r="F48" i="17"/>
  <c r="F33" i="17"/>
  <c r="F25" i="17"/>
  <c r="F47" i="17"/>
  <c r="F42" i="17"/>
  <c r="F38" i="17"/>
  <c r="F30" i="17"/>
  <c r="F22" i="17"/>
  <c r="F37" i="17"/>
  <c r="F29" i="17"/>
  <c r="F21" i="17"/>
  <c r="F26" i="17"/>
  <c r="F34" i="17"/>
  <c r="F45" i="17"/>
  <c r="F20" i="17"/>
  <c r="F41" i="17"/>
  <c r="F44" i="17"/>
  <c r="AO18" i="31"/>
  <c r="AO66" i="31" s="1"/>
  <c r="F50" i="17"/>
  <c r="F43" i="17"/>
  <c r="F36" i="17"/>
  <c r="F24" i="17"/>
  <c r="F32" i="17"/>
  <c r="F35" i="17"/>
  <c r="F40" i="17"/>
  <c r="F28" i="17"/>
  <c r="M14" i="17"/>
  <c r="F27" i="17"/>
  <c r="O50" i="17"/>
  <c r="R50" i="17" s="1"/>
  <c r="G50" i="17"/>
  <c r="AP18" i="31"/>
  <c r="N49" i="17"/>
  <c r="O49" i="17"/>
  <c r="F49" i="17"/>
  <c r="C83" i="17"/>
  <c r="AN50" i="31" s="1"/>
  <c r="B80" i="6"/>
  <c r="B82" i="6" s="1"/>
  <c r="H80" i="6"/>
  <c r="H82" i="6" s="1"/>
  <c r="R80" i="6"/>
  <c r="R82" i="6" s="1"/>
  <c r="Z80" i="6"/>
  <c r="Z82" i="6" s="1"/>
  <c r="AH80" i="6"/>
  <c r="AH82" i="6" s="1"/>
  <c r="I80" i="6"/>
  <c r="I82" i="6" s="1"/>
  <c r="S80" i="6"/>
  <c r="S82" i="6" s="1"/>
  <c r="AA80" i="6"/>
  <c r="AA82" i="6" s="1"/>
  <c r="AC80" i="6"/>
  <c r="AC82" i="6" s="1"/>
  <c r="K80" i="6"/>
  <c r="K82" i="6" s="1"/>
  <c r="C80" i="6"/>
  <c r="C82" i="6" s="1"/>
  <c r="E80" i="6"/>
  <c r="E82" i="6" s="1"/>
  <c r="M80" i="6"/>
  <c r="M82" i="6" s="1"/>
  <c r="W80" i="6"/>
  <c r="W82" i="6" s="1"/>
  <c r="AE80" i="6"/>
  <c r="AE82" i="6" s="1"/>
  <c r="U80" i="6"/>
  <c r="U82" i="6" s="1"/>
  <c r="Y80" i="6"/>
  <c r="Y82" i="6" s="1"/>
  <c r="Q80" i="6"/>
  <c r="Q82" i="6" s="1"/>
  <c r="AG80" i="6"/>
  <c r="AG82" i="6" s="1"/>
  <c r="J80" i="6"/>
  <c r="J82" i="6" s="1"/>
  <c r="T80" i="6"/>
  <c r="T82" i="6" s="1"/>
  <c r="AB80" i="6"/>
  <c r="AB82" i="6" s="1"/>
  <c r="D80" i="6"/>
  <c r="D82" i="6" s="1"/>
  <c r="L80" i="6"/>
  <c r="L82" i="6" s="1"/>
  <c r="V80" i="6"/>
  <c r="V82" i="6" s="1"/>
  <c r="AD80" i="6"/>
  <c r="AD82" i="6" s="1"/>
  <c r="F80" i="6"/>
  <c r="F82" i="6" s="1"/>
  <c r="N80" i="6"/>
  <c r="N82" i="6" s="1"/>
  <c r="X80" i="6"/>
  <c r="X82" i="6" s="1"/>
  <c r="AF80" i="6"/>
  <c r="AF82" i="6" s="1"/>
  <c r="G83" i="9"/>
  <c r="G87" i="9"/>
  <c r="G91" i="9"/>
  <c r="G95" i="9"/>
  <c r="G99" i="9"/>
  <c r="G103" i="9"/>
  <c r="G107" i="9"/>
  <c r="F80" i="9"/>
  <c r="F84" i="9"/>
  <c r="F88" i="9"/>
  <c r="F92" i="9"/>
  <c r="F96" i="9"/>
  <c r="F100" i="9"/>
  <c r="F104" i="9"/>
  <c r="F108" i="9"/>
  <c r="G80" i="9"/>
  <c r="G84" i="9"/>
  <c r="G88" i="9"/>
  <c r="G92" i="9"/>
  <c r="G96" i="9"/>
  <c r="G100" i="9"/>
  <c r="G104" i="9"/>
  <c r="G108" i="9"/>
  <c r="F81" i="9"/>
  <c r="F85" i="9"/>
  <c r="F89" i="9"/>
  <c r="F93" i="9"/>
  <c r="F97" i="9"/>
  <c r="F101" i="9"/>
  <c r="F105" i="9"/>
  <c r="F109" i="9"/>
  <c r="G81" i="9"/>
  <c r="G85" i="9"/>
  <c r="G89" i="9"/>
  <c r="G93" i="9"/>
  <c r="G97" i="9"/>
  <c r="G101" i="9"/>
  <c r="G105" i="9"/>
  <c r="G109" i="9"/>
  <c r="F82" i="9"/>
  <c r="F86" i="9"/>
  <c r="F90" i="9"/>
  <c r="F94" i="9"/>
  <c r="F98" i="9"/>
  <c r="F102" i="9"/>
  <c r="F106" i="9"/>
  <c r="F110" i="9"/>
  <c r="G82" i="9"/>
  <c r="G86" i="9"/>
  <c r="G90" i="9"/>
  <c r="G94" i="9"/>
  <c r="G98" i="9"/>
  <c r="G102" i="9"/>
  <c r="G106" i="9"/>
  <c r="G110" i="9"/>
  <c r="F83" i="9"/>
  <c r="F87" i="9"/>
  <c r="F91" i="9"/>
  <c r="F95" i="9"/>
  <c r="F99" i="9"/>
  <c r="F103" i="9"/>
  <c r="G101" i="8"/>
  <c r="G105" i="8"/>
  <c r="G82" i="8"/>
  <c r="G86" i="8"/>
  <c r="G90" i="8"/>
  <c r="G94" i="8"/>
  <c r="G98" i="8"/>
  <c r="G102" i="8"/>
  <c r="G106" i="8"/>
  <c r="F82" i="8"/>
  <c r="F86" i="8"/>
  <c r="F90" i="8"/>
  <c r="F94" i="8"/>
  <c r="F98" i="8"/>
  <c r="F102" i="8"/>
  <c r="F106" i="8"/>
  <c r="F79" i="8"/>
  <c r="F83" i="8"/>
  <c r="F87" i="8"/>
  <c r="F91" i="8"/>
  <c r="F95" i="8"/>
  <c r="F99" i="8"/>
  <c r="F103" i="8"/>
  <c r="F107" i="8"/>
  <c r="G79" i="8"/>
  <c r="G83" i="8"/>
  <c r="G87" i="8"/>
  <c r="G91" i="8"/>
  <c r="G95" i="8"/>
  <c r="G99" i="8"/>
  <c r="G103" i="8"/>
  <c r="G107" i="8"/>
  <c r="F80" i="8"/>
  <c r="F88" i="8"/>
  <c r="F92" i="8"/>
  <c r="F96" i="8"/>
  <c r="F100" i="8"/>
  <c r="F104" i="8"/>
  <c r="F108" i="8"/>
  <c r="G80" i="8"/>
  <c r="G84" i="8"/>
  <c r="G88" i="8"/>
  <c r="G92" i="8"/>
  <c r="G96" i="8"/>
  <c r="G100" i="8"/>
  <c r="G104" i="8"/>
  <c r="H31" i="17" l="1"/>
  <c r="AG21" i="50"/>
  <c r="AG52" i="18"/>
  <c r="E52" i="18" s="1"/>
  <c r="AE53" i="18"/>
  <c r="H25" i="19"/>
  <c r="AF21" i="50"/>
  <c r="AE53" i="19"/>
  <c r="AG52" i="19"/>
  <c r="E52" i="19" s="1"/>
  <c r="AH21" i="50"/>
  <c r="AH7" i="50"/>
  <c r="AG52" i="17"/>
  <c r="E52" i="17" s="1"/>
  <c r="AE53" i="17"/>
  <c r="AG22" i="50"/>
  <c r="AG8" i="50"/>
  <c r="AF8" i="50"/>
  <c r="AF22" i="50"/>
  <c r="D108" i="6"/>
  <c r="O108" i="6" s="1"/>
  <c r="C32" i="33"/>
  <c r="H32" i="33" s="1"/>
  <c r="C23" i="34"/>
  <c r="D93" i="6"/>
  <c r="O93" i="6" s="1"/>
  <c r="C32" i="19"/>
  <c r="C23" i="33"/>
  <c r="H23" i="33" s="1"/>
  <c r="C38" i="34"/>
  <c r="C38" i="33"/>
  <c r="H38" i="33" s="1"/>
  <c r="C32" i="18"/>
  <c r="C23" i="19"/>
  <c r="D107" i="6"/>
  <c r="O107" i="6" s="1"/>
  <c r="C38" i="18"/>
  <c r="C32" i="17"/>
  <c r="H32" i="17" s="1"/>
  <c r="C23" i="17"/>
  <c r="H23" i="17" s="1"/>
  <c r="C38" i="19"/>
  <c r="D102" i="6"/>
  <c r="O102" i="6" s="1"/>
  <c r="C32" i="34"/>
  <c r="C23" i="18"/>
  <c r="C35" i="42"/>
  <c r="D105" i="6"/>
  <c r="O105" i="6" s="1"/>
  <c r="C3" i="40"/>
  <c r="AB16" i="39"/>
  <c r="D118" i="6"/>
  <c r="O118" i="6" s="1"/>
  <c r="H29" i="42"/>
  <c r="H31" i="42"/>
  <c r="H46" i="42"/>
  <c r="C34" i="42"/>
  <c r="D104" i="6"/>
  <c r="O104" i="6" s="1"/>
  <c r="H20" i="42"/>
  <c r="C5" i="40"/>
  <c r="C4" i="40" s="1"/>
  <c r="C2" i="40" s="1"/>
  <c r="AB14" i="39"/>
  <c r="H25" i="17"/>
  <c r="C35" i="33"/>
  <c r="H35" i="33" s="1"/>
  <c r="C27" i="19"/>
  <c r="C48" i="33"/>
  <c r="C22" i="19"/>
  <c r="H22" i="19" s="1"/>
  <c r="H23" i="42"/>
  <c r="H38" i="42"/>
  <c r="H32" i="42"/>
  <c r="C44" i="42"/>
  <c r="D114" i="6"/>
  <c r="O114" i="6" s="1"/>
  <c r="H21" i="42"/>
  <c r="C27" i="42"/>
  <c r="D97" i="6"/>
  <c r="O97" i="6" s="1"/>
  <c r="D110" i="6"/>
  <c r="O110" i="6" s="1"/>
  <c r="C40" i="42"/>
  <c r="C33" i="42"/>
  <c r="D103" i="6"/>
  <c r="O103" i="6" s="1"/>
  <c r="C41" i="42"/>
  <c r="D111" i="6"/>
  <c r="O111" i="6" s="1"/>
  <c r="C35" i="18"/>
  <c r="H35" i="18" s="1"/>
  <c r="C27" i="34"/>
  <c r="H47" i="42"/>
  <c r="C26" i="42"/>
  <c r="D96" i="6"/>
  <c r="O96" i="6" s="1"/>
  <c r="H30" i="42"/>
  <c r="C36" i="42"/>
  <c r="D106" i="6"/>
  <c r="O106" i="6" s="1"/>
  <c r="C27" i="33"/>
  <c r="H27" i="33" s="1"/>
  <c r="C41" i="19"/>
  <c r="C22" i="34"/>
  <c r="H22" i="34" s="1"/>
  <c r="H45" i="42"/>
  <c r="C42" i="42"/>
  <c r="D112" i="6"/>
  <c r="O112" i="6" s="1"/>
  <c r="C43" i="42"/>
  <c r="D113" i="6"/>
  <c r="O113" i="6" s="1"/>
  <c r="C25" i="42"/>
  <c r="D95" i="6"/>
  <c r="O95" i="6" s="1"/>
  <c r="H37" i="42"/>
  <c r="H39" i="42"/>
  <c r="C24" i="42"/>
  <c r="D94" i="6"/>
  <c r="O94" i="6" s="1"/>
  <c r="H22" i="42"/>
  <c r="C28" i="42"/>
  <c r="D98" i="6"/>
  <c r="O98" i="6" s="1"/>
  <c r="AR15" i="39"/>
  <c r="AF15" i="39"/>
  <c r="K65" i="31"/>
  <c r="L65" i="31"/>
  <c r="DN11" i="31"/>
  <c r="AP66" i="31"/>
  <c r="DP12" i="31"/>
  <c r="I63" i="31"/>
  <c r="DL9" i="31"/>
  <c r="DS9" i="31" s="1"/>
  <c r="DZ9" i="31" s="1"/>
  <c r="EG9" i="31" s="1"/>
  <c r="C97" i="6"/>
  <c r="N97" i="6" s="1"/>
  <c r="C92" i="6"/>
  <c r="N92" i="6" s="1"/>
  <c r="H35" i="34"/>
  <c r="H42" i="33"/>
  <c r="H26" i="33"/>
  <c r="C49" i="33"/>
  <c r="D119" i="6"/>
  <c r="O119" i="6" s="1"/>
  <c r="H41" i="33"/>
  <c r="H39" i="34"/>
  <c r="H46" i="33"/>
  <c r="C116" i="6"/>
  <c r="N116" i="6" s="1"/>
  <c r="H22" i="33"/>
  <c r="C115" i="6"/>
  <c r="N115" i="6" s="1"/>
  <c r="H40" i="33"/>
  <c r="H42" i="34"/>
  <c r="H26" i="34"/>
  <c r="C29" i="33"/>
  <c r="C29" i="34"/>
  <c r="C29" i="17"/>
  <c r="H29" i="17" s="1"/>
  <c r="C29" i="19"/>
  <c r="H29" i="19" s="1"/>
  <c r="C29" i="18"/>
  <c r="D99" i="6"/>
  <c r="O99" i="6" s="1"/>
  <c r="H36" i="34"/>
  <c r="H36" i="33"/>
  <c r="AH14" i="31"/>
  <c r="H40" i="34"/>
  <c r="H39" i="33"/>
  <c r="Y50" i="17"/>
  <c r="C94" i="6"/>
  <c r="N94" i="6" s="1"/>
  <c r="H33" i="33"/>
  <c r="H32" i="34"/>
  <c r="C21" i="33"/>
  <c r="C21" i="34"/>
  <c r="C21" i="17"/>
  <c r="C21" i="19"/>
  <c r="H21" i="19" s="1"/>
  <c r="C21" i="18"/>
  <c r="H21" i="18" s="1"/>
  <c r="H44" i="33"/>
  <c r="C20" i="33"/>
  <c r="C20" i="19"/>
  <c r="C20" i="17"/>
  <c r="H20" i="17" s="1"/>
  <c r="C20" i="18"/>
  <c r="D90" i="6"/>
  <c r="O90" i="6" s="1"/>
  <c r="H33" i="34"/>
  <c r="H31" i="34"/>
  <c r="D91" i="6"/>
  <c r="O91" i="6" s="1"/>
  <c r="H28" i="34"/>
  <c r="H28" i="33"/>
  <c r="C118" i="6"/>
  <c r="N118" i="6" s="1"/>
  <c r="H43" i="34"/>
  <c r="H34" i="34"/>
  <c r="Y50" i="19"/>
  <c r="I16" i="31"/>
  <c r="EP16" i="31" s="1"/>
  <c r="H41" i="34"/>
  <c r="H25" i="33"/>
  <c r="H31" i="33"/>
  <c r="H30" i="34"/>
  <c r="C45" i="33"/>
  <c r="C45" i="34"/>
  <c r="C45" i="17"/>
  <c r="C45" i="19"/>
  <c r="H45" i="19" s="1"/>
  <c r="C45" i="18"/>
  <c r="H43" i="33"/>
  <c r="H34" i="33"/>
  <c r="C111" i="6"/>
  <c r="N111" i="6" s="1"/>
  <c r="H25" i="34"/>
  <c r="H24" i="34"/>
  <c r="H47" i="34"/>
  <c r="H30" i="33"/>
  <c r="D115" i="6"/>
  <c r="O115" i="6" s="1"/>
  <c r="H44" i="34"/>
  <c r="C119" i="6"/>
  <c r="N119" i="6" s="1"/>
  <c r="C110" i="6"/>
  <c r="N110" i="6" s="1"/>
  <c r="M81" i="33"/>
  <c r="M48" i="33"/>
  <c r="AX15" i="31"/>
  <c r="C5" i="33"/>
  <c r="M82" i="33"/>
  <c r="H48" i="33"/>
  <c r="M83" i="33"/>
  <c r="M84" i="33"/>
  <c r="M85" i="33"/>
  <c r="M86" i="33"/>
  <c r="M87" i="33"/>
  <c r="M88" i="33"/>
  <c r="M89" i="33"/>
  <c r="M90" i="33"/>
  <c r="H24" i="33"/>
  <c r="H47" i="33"/>
  <c r="H23" i="34"/>
  <c r="H46" i="34"/>
  <c r="C37" i="33"/>
  <c r="C37" i="34"/>
  <c r="C37" i="17"/>
  <c r="C37" i="19"/>
  <c r="H37" i="19" s="1"/>
  <c r="C37" i="18"/>
  <c r="H27" i="17"/>
  <c r="H40" i="17"/>
  <c r="AQ15" i="31"/>
  <c r="H24" i="17"/>
  <c r="H34" i="17"/>
  <c r="H38" i="17"/>
  <c r="AR15" i="31"/>
  <c r="AR17" i="31"/>
  <c r="H41" i="17"/>
  <c r="H26" i="17"/>
  <c r="AQ16" i="31"/>
  <c r="H47" i="17"/>
  <c r="H43" i="17"/>
  <c r="AQ17" i="31"/>
  <c r="H33" i="17"/>
  <c r="M16" i="31"/>
  <c r="M15" i="31"/>
  <c r="N15" i="31"/>
  <c r="H24" i="19"/>
  <c r="H46" i="19"/>
  <c r="H43" i="19"/>
  <c r="H34" i="19"/>
  <c r="H41" i="19"/>
  <c r="H26" i="19"/>
  <c r="H27" i="19"/>
  <c r="H40" i="19"/>
  <c r="H42" i="19"/>
  <c r="H31" i="19"/>
  <c r="H47" i="19"/>
  <c r="AE65" i="31"/>
  <c r="H22" i="18"/>
  <c r="AG15" i="31"/>
  <c r="H46" i="18"/>
  <c r="H23" i="18"/>
  <c r="N14" i="18"/>
  <c r="AG16" i="31"/>
  <c r="H33" i="18"/>
  <c r="AH16" i="31"/>
  <c r="H26" i="18"/>
  <c r="H40" i="18"/>
  <c r="H31" i="18"/>
  <c r="H24" i="18"/>
  <c r="AH15" i="31"/>
  <c r="H42" i="18"/>
  <c r="Y51" i="18"/>
  <c r="H25" i="18"/>
  <c r="H34" i="18"/>
  <c r="H41" i="18"/>
  <c r="AF17" i="31"/>
  <c r="G50" i="18"/>
  <c r="H43" i="18"/>
  <c r="H28" i="19"/>
  <c r="H28" i="17"/>
  <c r="C98" i="6"/>
  <c r="N98" i="6" s="1"/>
  <c r="C91" i="6"/>
  <c r="N91" i="6" s="1"/>
  <c r="H22" i="17"/>
  <c r="H39" i="19"/>
  <c r="H23" i="19"/>
  <c r="H36" i="19"/>
  <c r="H36" i="17"/>
  <c r="C106" i="6"/>
  <c r="N106" i="6" s="1"/>
  <c r="C93" i="6"/>
  <c r="N93" i="6" s="1"/>
  <c r="C90" i="6"/>
  <c r="N90" i="6" s="1"/>
  <c r="C117" i="6"/>
  <c r="N117" i="6" s="1"/>
  <c r="H35" i="17"/>
  <c r="H39" i="17"/>
  <c r="C109" i="6"/>
  <c r="N109" i="6" s="1"/>
  <c r="H30" i="17"/>
  <c r="H33" i="19"/>
  <c r="C105" i="6"/>
  <c r="N105" i="6" s="1"/>
  <c r="C100" i="6"/>
  <c r="N100" i="6" s="1"/>
  <c r="C101" i="6"/>
  <c r="N101" i="6" s="1"/>
  <c r="H35" i="19"/>
  <c r="H44" i="17"/>
  <c r="C114" i="6"/>
  <c r="N114" i="6" s="1"/>
  <c r="C107" i="6"/>
  <c r="N107" i="6" s="1"/>
  <c r="H38" i="18"/>
  <c r="H42" i="17"/>
  <c r="H30" i="19"/>
  <c r="N14" i="19"/>
  <c r="C85" i="19"/>
  <c r="J52" i="31" s="1"/>
  <c r="N50" i="19"/>
  <c r="Q50" i="19" s="1"/>
  <c r="F50" i="19"/>
  <c r="K18" i="31"/>
  <c r="O50" i="19"/>
  <c r="R50" i="19" s="1"/>
  <c r="G50" i="19"/>
  <c r="L18" i="31"/>
  <c r="AE18" i="31"/>
  <c r="F50" i="18"/>
  <c r="N50" i="18"/>
  <c r="Q50" i="18" s="1"/>
  <c r="C84" i="18"/>
  <c r="AD51" i="31" s="1"/>
  <c r="C84" i="17"/>
  <c r="AN51" i="31" s="1"/>
  <c r="G51" i="17"/>
  <c r="E2" i="17"/>
  <c r="O51" i="17"/>
  <c r="N51" i="17"/>
  <c r="F51" i="17"/>
  <c r="D2" i="17"/>
  <c r="AG53" i="18" l="1"/>
  <c r="E53" i="18" s="1"/>
  <c r="AE54" i="18"/>
  <c r="AG53" i="19"/>
  <c r="E53" i="19" s="1"/>
  <c r="AE54" i="19"/>
  <c r="AE54" i="17"/>
  <c r="AG53" i="17"/>
  <c r="E53" i="17" s="1"/>
  <c r="AP20" i="31" s="1"/>
  <c r="DP14" i="31" s="1"/>
  <c r="AH8" i="50"/>
  <c r="AH22" i="50"/>
  <c r="H27" i="34"/>
  <c r="H38" i="34"/>
  <c r="AG9" i="50"/>
  <c r="AG23" i="50"/>
  <c r="AF9" i="50"/>
  <c r="AF23" i="50"/>
  <c r="H21" i="17"/>
  <c r="H38" i="19"/>
  <c r="H32" i="19"/>
  <c r="H32" i="18"/>
  <c r="H45" i="18"/>
  <c r="H25" i="42"/>
  <c r="H36" i="42"/>
  <c r="H24" i="42"/>
  <c r="H33" i="42"/>
  <c r="C1" i="40"/>
  <c r="C40" i="40" s="1"/>
  <c r="AR16" i="39"/>
  <c r="AS15" i="39"/>
  <c r="H43" i="42"/>
  <c r="H40" i="42"/>
  <c r="H27" i="42"/>
  <c r="H34" i="42"/>
  <c r="H35" i="42"/>
  <c r="H28" i="42"/>
  <c r="H42" i="42"/>
  <c r="AR14" i="39"/>
  <c r="AL14" i="39"/>
  <c r="H41" i="42"/>
  <c r="H44" i="42"/>
  <c r="H37" i="17"/>
  <c r="H26" i="42"/>
  <c r="DN12" i="31"/>
  <c r="I64" i="31"/>
  <c r="DL10" i="31"/>
  <c r="DS10" i="31" s="1"/>
  <c r="DZ10" i="31" s="1"/>
  <c r="EG10" i="31" s="1"/>
  <c r="AF65" i="31"/>
  <c r="DO11" i="31"/>
  <c r="AR65" i="31"/>
  <c r="Y51" i="17"/>
  <c r="H29" i="34"/>
  <c r="H20" i="19"/>
  <c r="H29" i="33"/>
  <c r="H45" i="17"/>
  <c r="H37" i="33"/>
  <c r="H21" i="34"/>
  <c r="AR14" i="31"/>
  <c r="H45" i="34"/>
  <c r="H20" i="33"/>
  <c r="H21" i="33"/>
  <c r="K48" i="33"/>
  <c r="K81" i="33"/>
  <c r="K82" i="33"/>
  <c r="K83" i="33"/>
  <c r="K84" i="33"/>
  <c r="K85" i="33"/>
  <c r="K86" i="33"/>
  <c r="K87" i="33"/>
  <c r="K89" i="33"/>
  <c r="K88" i="33"/>
  <c r="K90" i="33"/>
  <c r="H45" i="33"/>
  <c r="Y51" i="19"/>
  <c r="I17" i="31"/>
  <c r="EP17" i="31" s="1"/>
  <c r="AX16" i="31"/>
  <c r="C50" i="33"/>
  <c r="M49" i="33"/>
  <c r="H49" i="33"/>
  <c r="H37" i="34"/>
  <c r="AR18" i="31"/>
  <c r="AQ18" i="31"/>
  <c r="AQ65" i="31"/>
  <c r="CF3" i="31"/>
  <c r="M17" i="31"/>
  <c r="K66" i="31"/>
  <c r="N17" i="31"/>
  <c r="L66" i="31"/>
  <c r="CD3" i="31"/>
  <c r="H44" i="18"/>
  <c r="H37" i="18"/>
  <c r="O51" i="18"/>
  <c r="AF18" i="31"/>
  <c r="G51" i="18"/>
  <c r="E2" i="18"/>
  <c r="AG17" i="31"/>
  <c r="H47" i="18"/>
  <c r="H20" i="18"/>
  <c r="H36" i="18"/>
  <c r="H28" i="18"/>
  <c r="Y52" i="18"/>
  <c r="H29" i="18"/>
  <c r="H27" i="18"/>
  <c r="H30" i="18"/>
  <c r="H39" i="18"/>
  <c r="AH17" i="31"/>
  <c r="AH65" i="31" s="1"/>
  <c r="CE3" i="31"/>
  <c r="AE66" i="31"/>
  <c r="H44" i="19"/>
  <c r="O51" i="19"/>
  <c r="G51" i="19"/>
  <c r="E2" i="19"/>
  <c r="C86" i="19"/>
  <c r="J53" i="31" s="1"/>
  <c r="N51" i="19"/>
  <c r="F51" i="19"/>
  <c r="C85" i="18"/>
  <c r="AD52" i="31" s="1"/>
  <c r="F51" i="18"/>
  <c r="N51" i="18"/>
  <c r="G52" i="17"/>
  <c r="O52" i="17"/>
  <c r="AO20" i="31"/>
  <c r="C85" i="17"/>
  <c r="AN52" i="31" s="1"/>
  <c r="AE55" i="18" l="1"/>
  <c r="AG54" i="18"/>
  <c r="E54" i="18" s="1"/>
  <c r="AE55" i="19"/>
  <c r="AG54" i="19"/>
  <c r="E54" i="19" s="1"/>
  <c r="AH23" i="50"/>
  <c r="AH9" i="50"/>
  <c r="AE55" i="17"/>
  <c r="AG54" i="17"/>
  <c r="E54" i="17" s="1"/>
  <c r="AP21" i="31" s="1"/>
  <c r="DP15" i="31" s="1"/>
  <c r="F52" i="17"/>
  <c r="N52" i="17"/>
  <c r="AO19" i="31"/>
  <c r="AO67" i="31" s="1"/>
  <c r="AO68" i="31" s="1"/>
  <c r="AP19" i="31"/>
  <c r="AG10" i="50"/>
  <c r="AG24" i="50"/>
  <c r="AF10" i="50"/>
  <c r="AF24" i="50"/>
  <c r="C41" i="40"/>
  <c r="AB17" i="39"/>
  <c r="AL15" i="39"/>
  <c r="AS14" i="39"/>
  <c r="AR9" i="39"/>
  <c r="AR8" i="39" s="1"/>
  <c r="AR17" i="39" s="1"/>
  <c r="AG17" i="39" s="1"/>
  <c r="C49" i="34"/>
  <c r="H49" i="34" s="1"/>
  <c r="AL16" i="39"/>
  <c r="AT15" i="39"/>
  <c r="AS16" i="39"/>
  <c r="N65" i="31"/>
  <c r="M65" i="31"/>
  <c r="AR66" i="31"/>
  <c r="AF66" i="31"/>
  <c r="DO12" i="31"/>
  <c r="I65" i="31"/>
  <c r="DL11" i="31"/>
  <c r="DS11" i="31" s="1"/>
  <c r="DZ11" i="31" s="1"/>
  <c r="EG11" i="31" s="1"/>
  <c r="C51" i="33"/>
  <c r="AX17" i="31"/>
  <c r="AX65" i="31" s="1"/>
  <c r="M50" i="33"/>
  <c r="P50" i="33" s="1"/>
  <c r="H50" i="33"/>
  <c r="I18" i="31"/>
  <c r="EP18" i="31" s="1"/>
  <c r="Y52" i="19"/>
  <c r="K49" i="33"/>
  <c r="BB14" i="31"/>
  <c r="Y52" i="17"/>
  <c r="AQ66" i="31"/>
  <c r="M18" i="31"/>
  <c r="N18" i="31"/>
  <c r="AR19" i="31"/>
  <c r="AG65" i="31"/>
  <c r="AF19" i="31"/>
  <c r="O52" i="18"/>
  <c r="G52" i="18"/>
  <c r="AG18" i="31"/>
  <c r="AH18" i="31"/>
  <c r="AH66" i="31" s="1"/>
  <c r="Y53" i="18"/>
  <c r="K20" i="31"/>
  <c r="N52" i="19"/>
  <c r="F52" i="19"/>
  <c r="C87" i="19"/>
  <c r="J54" i="31" s="1"/>
  <c r="F52" i="18"/>
  <c r="N52" i="18"/>
  <c r="C86" i="18"/>
  <c r="AD53" i="31" s="1"/>
  <c r="C86" i="17"/>
  <c r="AN53" i="31" s="1"/>
  <c r="N53" i="17"/>
  <c r="AO21" i="31"/>
  <c r="F53" i="17"/>
  <c r="G53" i="17"/>
  <c r="O53" i="17"/>
  <c r="AE56" i="18" l="1"/>
  <c r="AG55" i="18"/>
  <c r="E55" i="18" s="1"/>
  <c r="AE56" i="19"/>
  <c r="AG55" i="19"/>
  <c r="E55" i="19" s="1"/>
  <c r="AQ19" i="31"/>
  <c r="AQ67" i="31" s="1"/>
  <c r="AE56" i="17"/>
  <c r="AG55" i="17"/>
  <c r="E55" i="17" s="1"/>
  <c r="AP22" i="31" s="1"/>
  <c r="DP16" i="31" s="1"/>
  <c r="AH10" i="50"/>
  <c r="AH24" i="50"/>
  <c r="DP13" i="31"/>
  <c r="AP67" i="31"/>
  <c r="AP68" i="31" s="1"/>
  <c r="AP69" i="31" s="1"/>
  <c r="AE20" i="31"/>
  <c r="AG11" i="50"/>
  <c r="AG25" i="50"/>
  <c r="AE19" i="31"/>
  <c r="AE67" i="31" s="1"/>
  <c r="O52" i="19"/>
  <c r="G52" i="19"/>
  <c r="L20" i="31"/>
  <c r="DN14" i="31" s="1"/>
  <c r="AF11" i="50"/>
  <c r="AF25" i="50"/>
  <c r="K19" i="31"/>
  <c r="L19" i="31"/>
  <c r="C42" i="40"/>
  <c r="AB18" i="39"/>
  <c r="AF18" i="39" s="1"/>
  <c r="AL18" i="39" s="1"/>
  <c r="AF17" i="39"/>
  <c r="AT14" i="39"/>
  <c r="AS9" i="39"/>
  <c r="AS8" i="39" s="1"/>
  <c r="AS17" i="39" s="1"/>
  <c r="AH17" i="39" s="1"/>
  <c r="C50" i="34"/>
  <c r="C49" i="19"/>
  <c r="T16" i="31"/>
  <c r="AT16" i="39"/>
  <c r="AU15" i="39"/>
  <c r="AR18" i="39"/>
  <c r="AG18" i="39" s="1"/>
  <c r="N66" i="31"/>
  <c r="AF67" i="31"/>
  <c r="DO13" i="31"/>
  <c r="I66" i="31"/>
  <c r="DL12" i="31"/>
  <c r="DS12" i="31" s="1"/>
  <c r="DZ12" i="31" s="1"/>
  <c r="EG12" i="31" s="1"/>
  <c r="K50" i="33"/>
  <c r="S50" i="33" s="1"/>
  <c r="Y53" i="17"/>
  <c r="M51" i="33"/>
  <c r="C2" i="33"/>
  <c r="C52" i="33" s="1"/>
  <c r="AX18" i="31"/>
  <c r="H51" i="33"/>
  <c r="Y53" i="19"/>
  <c r="I19" i="31"/>
  <c r="EP19" i="31" s="1"/>
  <c r="M19" i="31"/>
  <c r="M66" i="31"/>
  <c r="AG66" i="31"/>
  <c r="AR20" i="31"/>
  <c r="AO69" i="31"/>
  <c r="AR67" i="31"/>
  <c r="AQ20" i="31"/>
  <c r="AH19" i="31"/>
  <c r="AH67" i="31" s="1"/>
  <c r="AF20" i="31"/>
  <c r="O53" i="18"/>
  <c r="G53" i="18"/>
  <c r="Y54" i="18"/>
  <c r="AG19" i="31"/>
  <c r="C88" i="19"/>
  <c r="J55" i="31" s="1"/>
  <c r="G53" i="19"/>
  <c r="O53" i="19"/>
  <c r="L21" i="31"/>
  <c r="K21" i="31"/>
  <c r="N53" i="19"/>
  <c r="F53" i="19"/>
  <c r="C87" i="18"/>
  <c r="AD54" i="31" s="1"/>
  <c r="F53" i="18"/>
  <c r="N53" i="18"/>
  <c r="AE21" i="31"/>
  <c r="AO22" i="31"/>
  <c r="AO8" i="31" s="1"/>
  <c r="N54" i="17"/>
  <c r="F54" i="17"/>
  <c r="O54" i="17"/>
  <c r="G54" i="17"/>
  <c r="C87" i="17"/>
  <c r="AN54" i="31" s="1"/>
  <c r="AG56" i="18" l="1"/>
  <c r="E56" i="18" s="1"/>
  <c r="AE57" i="18"/>
  <c r="AG56" i="19"/>
  <c r="E56" i="19" s="1"/>
  <c r="AE57" i="19"/>
  <c r="AH11" i="50"/>
  <c r="AH25" i="50"/>
  <c r="AG56" i="17"/>
  <c r="E56" i="17" s="1"/>
  <c r="AP23" i="31" s="1"/>
  <c r="DP17" i="31" s="1"/>
  <c r="AE57" i="17"/>
  <c r="N19" i="31"/>
  <c r="N67" i="31" s="1"/>
  <c r="AE68" i="31"/>
  <c r="AE69" i="31" s="1"/>
  <c r="AG12" i="50"/>
  <c r="AG26" i="50"/>
  <c r="L67" i="31"/>
  <c r="L68" i="31" s="1"/>
  <c r="L69" i="31" s="1"/>
  <c r="DN13" i="31"/>
  <c r="K67" i="31"/>
  <c r="K68" i="31" s="1"/>
  <c r="K69" i="31" s="1"/>
  <c r="AF12" i="50"/>
  <c r="AF26" i="50"/>
  <c r="AS18" i="39"/>
  <c r="AH18" i="39" s="1"/>
  <c r="AU16" i="39"/>
  <c r="C51" i="34"/>
  <c r="H51" i="34" s="1"/>
  <c r="AU14" i="39"/>
  <c r="AT9" i="39"/>
  <c r="AT8" i="39" s="1"/>
  <c r="AT17" i="39" s="1"/>
  <c r="AI17" i="39" s="1"/>
  <c r="AR19" i="39"/>
  <c r="AG19" i="39" s="1"/>
  <c r="AL17" i="39"/>
  <c r="C49" i="18"/>
  <c r="C49" i="17"/>
  <c r="H49" i="19"/>
  <c r="J16" i="31"/>
  <c r="C50" i="19"/>
  <c r="Y16" i="31"/>
  <c r="EQ16" i="31" s="1"/>
  <c r="H50" i="34"/>
  <c r="T17" i="31"/>
  <c r="T65" i="31" s="1"/>
  <c r="C43" i="40"/>
  <c r="AB19" i="39"/>
  <c r="DN15" i="31"/>
  <c r="I67" i="31"/>
  <c r="DL13" i="31"/>
  <c r="DS13" i="31" s="1"/>
  <c r="DZ13" i="31" s="1"/>
  <c r="EG13" i="31" s="1"/>
  <c r="AF68" i="31"/>
  <c r="DO14" i="31"/>
  <c r="C53" i="33"/>
  <c r="M52" i="33"/>
  <c r="AX19" i="31"/>
  <c r="H52" i="33"/>
  <c r="M67" i="31"/>
  <c r="Y54" i="19"/>
  <c r="I20" i="31"/>
  <c r="EP20" i="31" s="1"/>
  <c r="Y54" i="17"/>
  <c r="AX66" i="31"/>
  <c r="BC18" i="31"/>
  <c r="K51" i="33"/>
  <c r="M20" i="31"/>
  <c r="N20" i="31"/>
  <c r="AO70" i="31"/>
  <c r="AQ21" i="31"/>
  <c r="AR21" i="31"/>
  <c r="AQ68" i="31"/>
  <c r="AP8" i="31"/>
  <c r="AP70" i="31"/>
  <c r="AR68" i="31"/>
  <c r="AH20" i="31"/>
  <c r="AF21" i="31"/>
  <c r="O54" i="18"/>
  <c r="G54" i="18"/>
  <c r="AG67" i="31"/>
  <c r="AG20" i="31"/>
  <c r="Y55" i="18"/>
  <c r="G54" i="19"/>
  <c r="O54" i="19"/>
  <c r="L22" i="31"/>
  <c r="C89" i="19"/>
  <c r="J56" i="31" s="1"/>
  <c r="F54" i="19"/>
  <c r="N54" i="19"/>
  <c r="K22" i="31"/>
  <c r="F54" i="18"/>
  <c r="N54" i="18"/>
  <c r="AE22" i="31"/>
  <c r="C88" i="18"/>
  <c r="AD55" i="31" s="1"/>
  <c r="O55" i="17"/>
  <c r="R55" i="17" s="1"/>
  <c r="G55" i="17"/>
  <c r="C88" i="17"/>
  <c r="AN55" i="31" s="1"/>
  <c r="AO23" i="31"/>
  <c r="N55" i="17"/>
  <c r="Q55" i="17" s="1"/>
  <c r="F55" i="17"/>
  <c r="AG57" i="18" l="1"/>
  <c r="E57" i="18" s="1"/>
  <c r="AE58" i="18"/>
  <c r="AG57" i="19"/>
  <c r="E57" i="19" s="1"/>
  <c r="AE58" i="19"/>
  <c r="AG57" i="17"/>
  <c r="E57" i="17" s="1"/>
  <c r="AP24" i="31" s="1"/>
  <c r="DP18" i="31" s="1"/>
  <c r="AE58" i="17"/>
  <c r="AH12" i="50"/>
  <c r="AH26" i="50"/>
  <c r="AG13" i="50"/>
  <c r="AG27" i="50"/>
  <c r="AF13" i="50"/>
  <c r="AF27" i="50"/>
  <c r="AT18" i="39"/>
  <c r="AI18" i="39" s="1"/>
  <c r="AF19" i="39"/>
  <c r="AU9" i="39"/>
  <c r="AU8" i="39" s="1"/>
  <c r="AU17" i="39" s="1"/>
  <c r="AJ17" i="39" s="1"/>
  <c r="C44" i="40"/>
  <c r="AB20" i="39"/>
  <c r="AF20" i="39" s="1"/>
  <c r="AL20" i="39" s="1"/>
  <c r="T18" i="31"/>
  <c r="T66" i="31" s="1"/>
  <c r="O16" i="31"/>
  <c r="H49" i="18"/>
  <c r="AD16" i="31"/>
  <c r="C50" i="18"/>
  <c r="H50" i="19"/>
  <c r="J17" i="31"/>
  <c r="H49" i="17"/>
  <c r="AN16" i="31"/>
  <c r="C52" i="34"/>
  <c r="C51" i="19"/>
  <c r="Y17" i="31"/>
  <c r="AR20" i="39"/>
  <c r="AG20" i="39" s="1"/>
  <c r="AS19" i="39"/>
  <c r="AH19" i="39" s="1"/>
  <c r="AF69" i="31"/>
  <c r="DO15" i="31"/>
  <c r="I68" i="31"/>
  <c r="DL14" i="31"/>
  <c r="DS14" i="31" s="1"/>
  <c r="DZ14" i="31" s="1"/>
  <c r="EG14" i="31" s="1"/>
  <c r="L8" i="31"/>
  <c r="DN16" i="31"/>
  <c r="K70" i="31"/>
  <c r="M68" i="31"/>
  <c r="M53" i="33"/>
  <c r="AX20" i="31"/>
  <c r="C54" i="33"/>
  <c r="H53" i="33"/>
  <c r="Y55" i="19"/>
  <c r="I21" i="31"/>
  <c r="EP21" i="31" s="1"/>
  <c r="BC19" i="31"/>
  <c r="F19" i="31" s="1"/>
  <c r="U23" i="29" s="1"/>
  <c r="K52" i="33"/>
  <c r="Y55" i="17"/>
  <c r="AX67" i="31"/>
  <c r="M21" i="31"/>
  <c r="N68" i="31"/>
  <c r="N21" i="31"/>
  <c r="L70" i="31"/>
  <c r="K8" i="31"/>
  <c r="AR69" i="31"/>
  <c r="AQ22" i="31"/>
  <c r="AR22" i="31"/>
  <c r="AQ69" i="31"/>
  <c r="AP71" i="31"/>
  <c r="AO71" i="31"/>
  <c r="AE8" i="31"/>
  <c r="AH21" i="31"/>
  <c r="AG68" i="31"/>
  <c r="AG21" i="31"/>
  <c r="Y56" i="18"/>
  <c r="AE70" i="31"/>
  <c r="AH68" i="31"/>
  <c r="AF22" i="31"/>
  <c r="O55" i="18"/>
  <c r="R55" i="18" s="1"/>
  <c r="G55" i="18"/>
  <c r="K23" i="31"/>
  <c r="F55" i="19"/>
  <c r="N55" i="19"/>
  <c r="Q55" i="19" s="1"/>
  <c r="G55" i="19"/>
  <c r="O55" i="19"/>
  <c r="R55" i="19" s="1"/>
  <c r="L23" i="31"/>
  <c r="C90" i="19"/>
  <c r="J57" i="31" s="1"/>
  <c r="C89" i="18"/>
  <c r="AD56" i="31" s="1"/>
  <c r="AE23" i="31"/>
  <c r="F55" i="18"/>
  <c r="N55" i="18"/>
  <c r="Q55" i="18" s="1"/>
  <c r="O56" i="17"/>
  <c r="G56" i="17"/>
  <c r="AO24" i="31"/>
  <c r="N56" i="17"/>
  <c r="F56" i="17"/>
  <c r="C89" i="17"/>
  <c r="AN56" i="31" s="1"/>
  <c r="AE59" i="18" l="1"/>
  <c r="AG58" i="18"/>
  <c r="E58" i="18" s="1"/>
  <c r="AE59" i="19"/>
  <c r="AG58" i="19"/>
  <c r="E58" i="19" s="1"/>
  <c r="ER16" i="31"/>
  <c r="Y65" i="31"/>
  <c r="EQ17" i="31"/>
  <c r="AH27" i="50"/>
  <c r="AH13" i="50"/>
  <c r="AE59" i="17"/>
  <c r="AG58" i="17"/>
  <c r="E58" i="17" s="1"/>
  <c r="AP25" i="31" s="1"/>
  <c r="DP19" i="31" s="1"/>
  <c r="AG14" i="50"/>
  <c r="AG28" i="50"/>
  <c r="AF14" i="50"/>
  <c r="AF28" i="50"/>
  <c r="AU18" i="39"/>
  <c r="AJ18" i="39" s="1"/>
  <c r="AS20" i="39"/>
  <c r="AH20" i="39" s="1"/>
  <c r="J65" i="31"/>
  <c r="C50" i="17"/>
  <c r="H51" i="19"/>
  <c r="J18" i="31"/>
  <c r="H52" i="34"/>
  <c r="T19" i="31"/>
  <c r="T67" i="31" s="1"/>
  <c r="O17" i="31"/>
  <c r="ER17" i="31" s="1"/>
  <c r="C53" i="34"/>
  <c r="H50" i="18"/>
  <c r="AD17" i="31"/>
  <c r="AD65" i="31" s="1"/>
  <c r="AI16" i="31"/>
  <c r="ES16" i="31" s="1"/>
  <c r="Y18" i="31"/>
  <c r="AL19" i="39"/>
  <c r="AR21" i="39"/>
  <c r="AG21" i="39" s="1"/>
  <c r="AS16" i="31"/>
  <c r="C45" i="40"/>
  <c r="AB21" i="39"/>
  <c r="AF21" i="39" s="1"/>
  <c r="AL21" i="39" s="1"/>
  <c r="C51" i="18"/>
  <c r="C52" i="19"/>
  <c r="AT19" i="39"/>
  <c r="AI19" i="39" s="1"/>
  <c r="DN17" i="31"/>
  <c r="M69" i="31"/>
  <c r="K71" i="31"/>
  <c r="I69" i="31"/>
  <c r="DL15" i="31"/>
  <c r="DS15" i="31" s="1"/>
  <c r="DZ15" i="31" s="1"/>
  <c r="EG15" i="31" s="1"/>
  <c r="AF70" i="31"/>
  <c r="DO16" i="31"/>
  <c r="BC20" i="31"/>
  <c r="F20" i="31" s="1"/>
  <c r="U24" i="29" s="1"/>
  <c r="K53" i="33"/>
  <c r="Y56" i="17"/>
  <c r="AX21" i="31"/>
  <c r="C55" i="33"/>
  <c r="M54" i="33"/>
  <c r="H54" i="33"/>
  <c r="Y56" i="19"/>
  <c r="I22" i="31"/>
  <c r="EP22" i="31" s="1"/>
  <c r="AX68" i="31"/>
  <c r="AH69" i="31"/>
  <c r="AR70" i="31"/>
  <c r="AR8" i="31"/>
  <c r="AQ70" i="31"/>
  <c r="N69" i="31"/>
  <c r="N22" i="31"/>
  <c r="L71" i="31"/>
  <c r="M22" i="31"/>
  <c r="AP72" i="31"/>
  <c r="AR23" i="31"/>
  <c r="AQ23" i="31"/>
  <c r="AQ8" i="31"/>
  <c r="AO72" i="31"/>
  <c r="AG22" i="31"/>
  <c r="AG8" i="31" s="1"/>
  <c r="AF8" i="31"/>
  <c r="AG69" i="31"/>
  <c r="AE71" i="31"/>
  <c r="AH22" i="31"/>
  <c r="AH8" i="31" s="1"/>
  <c r="AF23" i="31"/>
  <c r="DO17" i="31" s="1"/>
  <c r="O56" i="18"/>
  <c r="G56" i="18"/>
  <c r="Y57" i="18"/>
  <c r="N56" i="19"/>
  <c r="K24" i="31"/>
  <c r="F56" i="19"/>
  <c r="L24" i="31"/>
  <c r="O56" i="19"/>
  <c r="G56" i="19"/>
  <c r="C90" i="18"/>
  <c r="AD57" i="31" s="1"/>
  <c r="AE24" i="31"/>
  <c r="N56" i="18"/>
  <c r="F56" i="18"/>
  <c r="AO25" i="31"/>
  <c r="F57" i="17"/>
  <c r="N57" i="17"/>
  <c r="C90" i="17"/>
  <c r="AN57" i="31" s="1"/>
  <c r="O57" i="17"/>
  <c r="G57" i="17"/>
  <c r="EQ18" i="31" l="1"/>
  <c r="B18" i="31"/>
  <c r="Q22" i="29" s="1"/>
  <c r="AE60" i="18"/>
  <c r="AG59" i="18"/>
  <c r="E59" i="18" s="1"/>
  <c r="AE60" i="19"/>
  <c r="AG59" i="19"/>
  <c r="E59" i="19" s="1"/>
  <c r="BC16" i="31"/>
  <c r="ET16" i="31"/>
  <c r="EV16" i="31" s="1"/>
  <c r="AE60" i="17"/>
  <c r="AG59" i="17"/>
  <c r="E59" i="17" s="1"/>
  <c r="AP26" i="31" s="1"/>
  <c r="DP20" i="31" s="1"/>
  <c r="AH14" i="50"/>
  <c r="AH28" i="50"/>
  <c r="AG16" i="50"/>
  <c r="AG29" i="50"/>
  <c r="AF16" i="50"/>
  <c r="AF29" i="50"/>
  <c r="Y66" i="31"/>
  <c r="AF2" i="39"/>
  <c r="AT20" i="39"/>
  <c r="AI20" i="39" s="1"/>
  <c r="C53" i="19"/>
  <c r="T20" i="31"/>
  <c r="T68" i="31" s="1"/>
  <c r="H53" i="34"/>
  <c r="AS21" i="39"/>
  <c r="AH21" i="39" s="1"/>
  <c r="O65" i="31"/>
  <c r="O18" i="31"/>
  <c r="C51" i="17"/>
  <c r="H51" i="18"/>
  <c r="AD18" i="31"/>
  <c r="AD66" i="31" s="1"/>
  <c r="AB2" i="39"/>
  <c r="H50" i="17"/>
  <c r="AN17" i="31"/>
  <c r="AN65" i="31" s="1"/>
  <c r="C52" i="18"/>
  <c r="C54" i="34"/>
  <c r="AI17" i="31"/>
  <c r="AU19" i="39"/>
  <c r="AJ19" i="39" s="1"/>
  <c r="J66" i="31"/>
  <c r="H52" i="19"/>
  <c r="J19" i="31"/>
  <c r="C46" i="40"/>
  <c r="AB22" i="39"/>
  <c r="AR22" i="39"/>
  <c r="AG22" i="39" s="1"/>
  <c r="Y19" i="31"/>
  <c r="AR1" i="39"/>
  <c r="N8" i="31"/>
  <c r="M70" i="31"/>
  <c r="DN18" i="31"/>
  <c r="I70" i="31"/>
  <c r="DL16" i="31"/>
  <c r="DS16" i="31" s="1"/>
  <c r="DZ16" i="31" s="1"/>
  <c r="EG16" i="31" s="1"/>
  <c r="AX69" i="31"/>
  <c r="AX22" i="31"/>
  <c r="C56" i="33"/>
  <c r="M55" i="33"/>
  <c r="P55" i="33" s="1"/>
  <c r="H55" i="33"/>
  <c r="Y57" i="19"/>
  <c r="I23" i="31"/>
  <c r="EP23" i="31" s="1"/>
  <c r="DG8" i="31"/>
  <c r="BC21" i="31"/>
  <c r="F21" i="31" s="1"/>
  <c r="U25" i="29" s="1"/>
  <c r="K54" i="33"/>
  <c r="Y57" i="17"/>
  <c r="AQ71" i="31"/>
  <c r="DF8" i="31"/>
  <c r="M23" i="31"/>
  <c r="K72" i="31"/>
  <c r="L72" i="31"/>
  <c r="N23" i="31"/>
  <c r="M8" i="31"/>
  <c r="N70" i="31"/>
  <c r="AE72" i="31"/>
  <c r="AG70" i="31"/>
  <c r="AR24" i="31"/>
  <c r="AO73" i="31"/>
  <c r="AP73" i="31"/>
  <c r="AQ24" i="31"/>
  <c r="AR71" i="31"/>
  <c r="AG23" i="31"/>
  <c r="AH70" i="31"/>
  <c r="AF71" i="31"/>
  <c r="Y58" i="18"/>
  <c r="AH23" i="31"/>
  <c r="AF24" i="31"/>
  <c r="DO18" i="31" s="1"/>
  <c r="G57" i="18"/>
  <c r="O57" i="18"/>
  <c r="K25" i="31"/>
  <c r="N57" i="19"/>
  <c r="F57" i="19"/>
  <c r="G57" i="19"/>
  <c r="O57" i="19"/>
  <c r="L25" i="31"/>
  <c r="AE25" i="31"/>
  <c r="N57" i="18"/>
  <c r="F57" i="18"/>
  <c r="N58" i="17"/>
  <c r="AO26" i="31"/>
  <c r="F58" i="17"/>
  <c r="G58" i="17"/>
  <c r="O58" i="17"/>
  <c r="EQ19" i="31" l="1"/>
  <c r="B19" i="31"/>
  <c r="Q23" i="29" s="1"/>
  <c r="ER18" i="31"/>
  <c r="C18" i="31"/>
  <c r="R22" i="29" s="1"/>
  <c r="AE6" i="18"/>
  <c r="AG60" i="18"/>
  <c r="AE6" i="19"/>
  <c r="AG60" i="19"/>
  <c r="AI65" i="31"/>
  <c r="ES17" i="31"/>
  <c r="AH16" i="50"/>
  <c r="AH29" i="50"/>
  <c r="AE6" i="17"/>
  <c r="AG60" i="17"/>
  <c r="Y67" i="31"/>
  <c r="AR23" i="39"/>
  <c r="AG23" i="39" s="1"/>
  <c r="H51" i="17"/>
  <c r="AN18" i="31"/>
  <c r="AN66" i="31" s="1"/>
  <c r="O66" i="31"/>
  <c r="C54" i="19"/>
  <c r="J67" i="31"/>
  <c r="AU20" i="39"/>
  <c r="AJ20" i="39" s="1"/>
  <c r="H54" i="34"/>
  <c r="T21" i="31"/>
  <c r="T69" i="31" s="1"/>
  <c r="AS22" i="39"/>
  <c r="AH22" i="39" s="1"/>
  <c r="AS1" i="39"/>
  <c r="Y20" i="31"/>
  <c r="H53" i="19"/>
  <c r="J20" i="31"/>
  <c r="C47" i="40"/>
  <c r="AB23" i="39"/>
  <c r="AL23" i="39" s="1"/>
  <c r="AI18" i="31"/>
  <c r="D18" i="31" s="1"/>
  <c r="S22" i="29" s="1"/>
  <c r="C53" i="18"/>
  <c r="AF22" i="39"/>
  <c r="AS17" i="31"/>
  <c r="ET17" i="31" s="1"/>
  <c r="H52" i="18"/>
  <c r="AD19" i="31"/>
  <c r="AD67" i="31" s="1"/>
  <c r="AT21" i="39"/>
  <c r="AI21" i="39" s="1"/>
  <c r="C52" i="17"/>
  <c r="C55" i="34"/>
  <c r="AG2" i="39"/>
  <c r="O19" i="31"/>
  <c r="C19" i="31" s="1"/>
  <c r="R23" i="29" s="1"/>
  <c r="DN19" i="31"/>
  <c r="I71" i="31"/>
  <c r="DL17" i="31"/>
  <c r="DS17" i="31" s="1"/>
  <c r="DZ17" i="31" s="1"/>
  <c r="EG17" i="31" s="1"/>
  <c r="N71" i="31"/>
  <c r="K73" i="31"/>
  <c r="Y58" i="19"/>
  <c r="I24" i="31"/>
  <c r="EP24" i="31" s="1"/>
  <c r="AX70" i="31"/>
  <c r="AX8" i="31"/>
  <c r="K55" i="33"/>
  <c r="S55" i="33" s="1"/>
  <c r="BC22" i="31"/>
  <c r="F22" i="31" s="1"/>
  <c r="U26" i="29" s="1"/>
  <c r="Q14" i="29" s="1"/>
  <c r="Y58" i="17"/>
  <c r="C57" i="33"/>
  <c r="M56" i="33"/>
  <c r="AX23" i="31"/>
  <c r="H56" i="33"/>
  <c r="AE73" i="31"/>
  <c r="M24" i="31"/>
  <c r="M71" i="31"/>
  <c r="N24" i="31"/>
  <c r="G8" i="31"/>
  <c r="DE8" i="31"/>
  <c r="L73" i="31"/>
  <c r="AH71" i="31"/>
  <c r="AR72" i="31"/>
  <c r="AR25" i="31"/>
  <c r="AQ25" i="31"/>
  <c r="AP74" i="31"/>
  <c r="AQ72" i="31"/>
  <c r="AO74" i="31"/>
  <c r="AF72" i="31"/>
  <c r="AG71" i="31"/>
  <c r="AH24" i="31"/>
  <c r="AF25" i="31"/>
  <c r="DO19" i="31" s="1"/>
  <c r="G58" i="18"/>
  <c r="O58" i="18"/>
  <c r="Y59" i="18"/>
  <c r="AG24" i="31"/>
  <c r="F58" i="19"/>
  <c r="K26" i="31"/>
  <c r="N58" i="19"/>
  <c r="O58" i="19"/>
  <c r="G58" i="19"/>
  <c r="L26" i="31"/>
  <c r="AE26" i="31"/>
  <c r="N58" i="18"/>
  <c r="F58" i="18"/>
  <c r="O59" i="17"/>
  <c r="G59" i="17"/>
  <c r="N59" i="17"/>
  <c r="F59" i="17"/>
  <c r="AO27" i="31"/>
  <c r="AU27" i="31" s="1"/>
  <c r="EQ20" i="31" l="1"/>
  <c r="B20" i="31"/>
  <c r="Q24" i="29" s="1"/>
  <c r="AG6" i="18"/>
  <c r="E60" i="18"/>
  <c r="AG6" i="19"/>
  <c r="E60" i="19"/>
  <c r="L27" i="31" s="1"/>
  <c r="AI66" i="31"/>
  <c r="ES18" i="31"/>
  <c r="EV17" i="31"/>
  <c r="ER19" i="31"/>
  <c r="AG6" i="17"/>
  <c r="E60" i="17"/>
  <c r="AP27" i="31" s="1"/>
  <c r="DP21" i="31" s="1"/>
  <c r="Y68" i="31"/>
  <c r="AS65" i="31"/>
  <c r="BC17" i="31"/>
  <c r="BC65" i="31" s="1"/>
  <c r="BC66" i="31" s="1"/>
  <c r="BC67" i="31" s="1"/>
  <c r="BC68" i="31" s="1"/>
  <c r="BC69" i="31" s="1"/>
  <c r="BC70" i="31" s="1"/>
  <c r="O20" i="31"/>
  <c r="AL22" i="39"/>
  <c r="Y21" i="31"/>
  <c r="B21" i="31" s="1"/>
  <c r="Q25" i="29" s="1"/>
  <c r="O67" i="31"/>
  <c r="AS18" i="31"/>
  <c r="C54" i="18"/>
  <c r="H53" i="18"/>
  <c r="AD20" i="31"/>
  <c r="AD68" i="31" s="1"/>
  <c r="C56" i="34"/>
  <c r="H55" i="34"/>
  <c r="T22" i="31"/>
  <c r="C53" i="17"/>
  <c r="AS23" i="39"/>
  <c r="AH23" i="39" s="1"/>
  <c r="C48" i="40"/>
  <c r="AB24" i="39"/>
  <c r="J68" i="31"/>
  <c r="AU21" i="39"/>
  <c r="AJ21" i="39" s="1"/>
  <c r="AR24" i="39"/>
  <c r="AG24" i="39" s="1"/>
  <c r="AT22" i="39"/>
  <c r="AI22" i="39" s="1"/>
  <c r="AI2" i="39"/>
  <c r="AT1" i="39"/>
  <c r="H54" i="19"/>
  <c r="J21" i="31"/>
  <c r="H52" i="17"/>
  <c r="AN19" i="31"/>
  <c r="AI19" i="31"/>
  <c r="D19" i="31" s="1"/>
  <c r="S23" i="29" s="1"/>
  <c r="C55" i="19"/>
  <c r="AH2" i="39"/>
  <c r="DN20" i="31"/>
  <c r="I72" i="31"/>
  <c r="DL18" i="31"/>
  <c r="DS18" i="31" s="1"/>
  <c r="DZ18" i="31" s="1"/>
  <c r="EG18" i="31" s="1"/>
  <c r="N72" i="31"/>
  <c r="K74" i="31"/>
  <c r="AX71" i="31"/>
  <c r="AE74" i="31"/>
  <c r="AR73" i="31"/>
  <c r="AH72" i="31"/>
  <c r="M57" i="33"/>
  <c r="AX24" i="31"/>
  <c r="C58" i="33"/>
  <c r="H57" i="33"/>
  <c r="Y59" i="17"/>
  <c r="BC23" i="31"/>
  <c r="F23" i="31" s="1"/>
  <c r="U27" i="29" s="1"/>
  <c r="K56" i="33"/>
  <c r="BC1" i="31"/>
  <c r="Y59" i="19"/>
  <c r="I25" i="31"/>
  <c r="EP25" i="31" s="1"/>
  <c r="M72" i="31"/>
  <c r="BC8" i="31"/>
  <c r="N25" i="31"/>
  <c r="M25" i="31"/>
  <c r="L74" i="31"/>
  <c r="AF73" i="31"/>
  <c r="AR26" i="31"/>
  <c r="AO2" i="31"/>
  <c r="AO9" i="31"/>
  <c r="AO75" i="31"/>
  <c r="AQ26" i="31"/>
  <c r="AQ73" i="31"/>
  <c r="AF26" i="31"/>
  <c r="DO20" i="31" s="1"/>
  <c r="O59" i="18"/>
  <c r="G59" i="18"/>
  <c r="Y60" i="18"/>
  <c r="AH25" i="31"/>
  <c r="AG25" i="31"/>
  <c r="AG72" i="31"/>
  <c r="G59" i="19"/>
  <c r="O59" i="19"/>
  <c r="K27" i="31"/>
  <c r="Q27" i="31" s="1"/>
  <c r="N59" i="19"/>
  <c r="F59" i="19"/>
  <c r="AE27" i="31"/>
  <c r="N59" i="18"/>
  <c r="F59" i="18"/>
  <c r="D61" i="17"/>
  <c r="AO28" i="31" s="1"/>
  <c r="F60" i="17"/>
  <c r="N60" i="17"/>
  <c r="Q60" i="17" s="1"/>
  <c r="ET18" i="31" l="1"/>
  <c r="E18" i="31"/>
  <c r="ER20" i="31"/>
  <c r="C20" i="31"/>
  <c r="R24" i="29" s="1"/>
  <c r="AE2" i="31"/>
  <c r="AK27" i="31"/>
  <c r="AP9" i="31"/>
  <c r="AP4" i="31" s="1"/>
  <c r="O60" i="17"/>
  <c r="R60" i="17" s="1"/>
  <c r="Y69" i="31"/>
  <c r="EQ21" i="31"/>
  <c r="AI67" i="31"/>
  <c r="ES19" i="31"/>
  <c r="EV18" i="31"/>
  <c r="G60" i="17"/>
  <c r="E61" i="17"/>
  <c r="AP28" i="31" s="1"/>
  <c r="DP22" i="31" s="1"/>
  <c r="AP75" i="31"/>
  <c r="AP2" i="31"/>
  <c r="C55" i="18"/>
  <c r="AS24" i="39"/>
  <c r="AH24" i="39" s="1"/>
  <c r="O21" i="31"/>
  <c r="Y22" i="31"/>
  <c r="B22" i="31" s="1"/>
  <c r="Q26" i="29" s="1"/>
  <c r="J22" i="31"/>
  <c r="H55" i="19"/>
  <c r="AT23" i="39"/>
  <c r="AI23" i="39" s="1"/>
  <c r="AF24" i="39"/>
  <c r="AN20" i="31"/>
  <c r="H53" i="17"/>
  <c r="AS66" i="31"/>
  <c r="AN67" i="31"/>
  <c r="J69" i="31"/>
  <c r="C57" i="34"/>
  <c r="C49" i="40"/>
  <c r="AB25" i="39"/>
  <c r="AF25" i="39" s="1"/>
  <c r="AL25" i="39" s="1"/>
  <c r="AI20" i="31"/>
  <c r="D20" i="31" s="1"/>
  <c r="S24" i="29" s="1"/>
  <c r="T8" i="31"/>
  <c r="Y1" i="31" s="1"/>
  <c r="T70" i="31"/>
  <c r="AR25" i="39"/>
  <c r="AG25" i="39" s="1"/>
  <c r="T23" i="31"/>
  <c r="H56" i="34"/>
  <c r="O68" i="31"/>
  <c r="AS19" i="31"/>
  <c r="C54" i="17"/>
  <c r="C56" i="19"/>
  <c r="AU22" i="39"/>
  <c r="AJ22" i="39" s="1"/>
  <c r="AU1" i="39"/>
  <c r="H54" i="18"/>
  <c r="AD21" i="31"/>
  <c r="AD69" i="31" s="1"/>
  <c r="K9" i="31"/>
  <c r="K4" i="31" s="1"/>
  <c r="I73" i="31"/>
  <c r="DL19" i="31"/>
  <c r="DS19" i="31" s="1"/>
  <c r="DZ19" i="31" s="1"/>
  <c r="EG19" i="31" s="1"/>
  <c r="L9" i="31"/>
  <c r="L4" i="31" s="1"/>
  <c r="DN21" i="31"/>
  <c r="N73" i="31"/>
  <c r="AH73" i="31"/>
  <c r="CG8" i="31"/>
  <c r="H4" i="44" s="1"/>
  <c r="E17" i="44" s="1"/>
  <c r="Y60" i="17"/>
  <c r="BD1" i="31"/>
  <c r="BC24" i="31"/>
  <c r="F24" i="31" s="1"/>
  <c r="U28" i="29" s="1"/>
  <c r="K57" i="33"/>
  <c r="BC71" i="31"/>
  <c r="AX72" i="31"/>
  <c r="Y60" i="19"/>
  <c r="I26" i="31"/>
  <c r="EP26" i="31" s="1"/>
  <c r="AX25" i="31"/>
  <c r="C59" i="33"/>
  <c r="M58" i="33"/>
  <c r="H58" i="33"/>
  <c r="AF74" i="31"/>
  <c r="K75" i="31"/>
  <c r="M26" i="31"/>
  <c r="N26" i="31"/>
  <c r="M73" i="31"/>
  <c r="L75" i="31"/>
  <c r="AQ27" i="31"/>
  <c r="AR74" i="31"/>
  <c r="AQ74" i="31"/>
  <c r="AO4" i="31"/>
  <c r="AO76" i="31"/>
  <c r="AG73" i="31"/>
  <c r="AE75" i="31"/>
  <c r="AH26" i="31"/>
  <c r="AE9" i="31"/>
  <c r="AF27" i="31"/>
  <c r="DO21" i="31" s="1"/>
  <c r="E61" i="18"/>
  <c r="G60" i="18"/>
  <c r="O60" i="18"/>
  <c r="R60" i="18" s="1"/>
  <c r="AG26" i="31"/>
  <c r="F60" i="19"/>
  <c r="D61" i="19"/>
  <c r="K28" i="31" s="1"/>
  <c r="N60" i="19"/>
  <c r="Q60" i="19" s="1"/>
  <c r="E61" i="19"/>
  <c r="L28" i="31" s="1"/>
  <c r="G60" i="19"/>
  <c r="O60" i="19"/>
  <c r="R60" i="19" s="1"/>
  <c r="N60" i="18"/>
  <c r="Q60" i="18" s="1"/>
  <c r="F60" i="18"/>
  <c r="D61" i="18"/>
  <c r="AE28" i="31" s="1"/>
  <c r="D62" i="17"/>
  <c r="AO29" i="31" s="1"/>
  <c r="N61" i="17"/>
  <c r="F61" i="17"/>
  <c r="G18" i="31" l="1"/>
  <c r="V22" i="29" s="1"/>
  <c r="T22" i="29"/>
  <c r="ER21" i="31"/>
  <c r="C21" i="31"/>
  <c r="R25" i="29" s="1"/>
  <c r="ET19" i="31"/>
  <c r="EV19" i="31" s="1"/>
  <c r="E19" i="31"/>
  <c r="G61" i="17"/>
  <c r="AR28" i="31" s="1"/>
  <c r="O61" i="17"/>
  <c r="E62" i="17"/>
  <c r="AP29" i="31" s="1"/>
  <c r="DP23" i="31" s="1"/>
  <c r="AP76" i="31"/>
  <c r="Y8" i="31"/>
  <c r="EQ22" i="31"/>
  <c r="AI68" i="31"/>
  <c r="ES20" i="31"/>
  <c r="AR27" i="31"/>
  <c r="AR9" i="31" s="1"/>
  <c r="AR4" i="31" s="1"/>
  <c r="O69" i="31"/>
  <c r="AS67" i="31"/>
  <c r="J70" i="31"/>
  <c r="AI21" i="31"/>
  <c r="D21" i="31" s="1"/>
  <c r="S25" i="29" s="1"/>
  <c r="C58" i="34"/>
  <c r="C50" i="40"/>
  <c r="AB26" i="39"/>
  <c r="AF26" i="39" s="1"/>
  <c r="AL26" i="39" s="1"/>
  <c r="AL24" i="39"/>
  <c r="AR26" i="39"/>
  <c r="AG26" i="39" s="1"/>
  <c r="AG10" i="39" s="1"/>
  <c r="H57" i="34"/>
  <c r="T24" i="31"/>
  <c r="Y23" i="31"/>
  <c r="C55" i="17"/>
  <c r="AJ2" i="39"/>
  <c r="H54" i="17"/>
  <c r="AN21" i="31"/>
  <c r="J8" i="31"/>
  <c r="O1" i="31" s="1"/>
  <c r="AS20" i="31"/>
  <c r="AT24" i="39"/>
  <c r="AI24" i="39" s="1"/>
  <c r="Y70" i="31"/>
  <c r="C57" i="19"/>
  <c r="AU23" i="39"/>
  <c r="AJ23" i="39" s="1"/>
  <c r="AN68" i="31"/>
  <c r="AS25" i="39"/>
  <c r="AH25" i="39" s="1"/>
  <c r="H56" i="19"/>
  <c r="J23" i="31"/>
  <c r="T71" i="31"/>
  <c r="O22" i="31"/>
  <c r="H55" i="18"/>
  <c r="AD22" i="31"/>
  <c r="AD70" i="31" s="1"/>
  <c r="C56" i="18"/>
  <c r="DN22" i="31"/>
  <c r="N74" i="31"/>
  <c r="I74" i="31"/>
  <c r="DL20" i="31"/>
  <c r="DS20" i="31" s="1"/>
  <c r="DZ20" i="31" s="1"/>
  <c r="EG20" i="31" s="1"/>
  <c r="BC25" i="31"/>
  <c r="F25" i="31" s="1"/>
  <c r="U29" i="29" s="1"/>
  <c r="K58" i="33"/>
  <c r="I27" i="31"/>
  <c r="EP27" i="31" s="1"/>
  <c r="BC72" i="31"/>
  <c r="AX73" i="31"/>
  <c r="AX26" i="31"/>
  <c r="C60" i="33"/>
  <c r="M59" i="33"/>
  <c r="H59" i="33"/>
  <c r="AQ75" i="31"/>
  <c r="M27" i="31"/>
  <c r="N27" i="31"/>
  <c r="L76" i="31"/>
  <c r="K76" i="31"/>
  <c r="M74" i="31"/>
  <c r="AE76" i="31"/>
  <c r="AQ28" i="31"/>
  <c r="AO77" i="31"/>
  <c r="CF4" i="31"/>
  <c r="CF2" i="31" s="1"/>
  <c r="AQ9" i="31"/>
  <c r="AT4" i="31"/>
  <c r="AF28" i="31"/>
  <c r="DO22" i="31" s="1"/>
  <c r="E62" i="18"/>
  <c r="O61" i="18"/>
  <c r="G61" i="18"/>
  <c r="AG74" i="31"/>
  <c r="AF2" i="31"/>
  <c r="AF9" i="31"/>
  <c r="AF75" i="31"/>
  <c r="AG27" i="31"/>
  <c r="AE4" i="31"/>
  <c r="AH74" i="31"/>
  <c r="AH27" i="31"/>
  <c r="AH9" i="31" s="1"/>
  <c r="O61" i="19"/>
  <c r="E62" i="19"/>
  <c r="L29" i="31" s="1"/>
  <c r="G61" i="19"/>
  <c r="N61" i="19"/>
  <c r="F61" i="19"/>
  <c r="D62" i="19"/>
  <c r="K29" i="31" s="1"/>
  <c r="F61" i="18"/>
  <c r="D62" i="18"/>
  <c r="N61" i="18"/>
  <c r="D63" i="17"/>
  <c r="AO30" i="31" s="1"/>
  <c r="N62" i="17"/>
  <c r="F62" i="17"/>
  <c r="G19" i="31" l="1"/>
  <c r="V23" i="29" s="1"/>
  <c r="T23" i="29"/>
  <c r="ER22" i="31"/>
  <c r="C22" i="31"/>
  <c r="R26" i="29" s="1"/>
  <c r="EQ23" i="31"/>
  <c r="B23" i="31"/>
  <c r="Q27" i="29" s="1"/>
  <c r="ET20" i="31"/>
  <c r="EV20" i="31" s="1"/>
  <c r="E20" i="31"/>
  <c r="E63" i="17"/>
  <c r="AP30" i="31" s="1"/>
  <c r="DP24" i="31" s="1"/>
  <c r="O62" i="17"/>
  <c r="AP77" i="31"/>
  <c r="G62" i="17"/>
  <c r="DG9" i="31"/>
  <c r="DG12" i="31" s="1"/>
  <c r="AR75" i="31"/>
  <c r="AR76" i="31" s="1"/>
  <c r="AI69" i="31"/>
  <c r="ES21" i="31"/>
  <c r="AS68" i="31"/>
  <c r="AN69" i="31"/>
  <c r="T72" i="31"/>
  <c r="Y71" i="31"/>
  <c r="AB3" i="39"/>
  <c r="O70" i="31"/>
  <c r="C56" i="17"/>
  <c r="AT25" i="39"/>
  <c r="AI25" i="39" s="1"/>
  <c r="T25" i="31"/>
  <c r="H58" i="34"/>
  <c r="AN22" i="31"/>
  <c r="H55" i="17"/>
  <c r="O23" i="31"/>
  <c r="C23" i="31" s="1"/>
  <c r="R27" i="29" s="1"/>
  <c r="C57" i="18"/>
  <c r="AU24" i="39"/>
  <c r="AJ24" i="39" s="1"/>
  <c r="O8" i="31"/>
  <c r="Z1" i="31"/>
  <c r="CC8" i="31"/>
  <c r="C51" i="40"/>
  <c r="AB27" i="39"/>
  <c r="C58" i="19"/>
  <c r="H57" i="19"/>
  <c r="J24" i="31"/>
  <c r="AS21" i="31"/>
  <c r="E21" i="31" s="1"/>
  <c r="C59" i="34"/>
  <c r="AF3" i="39"/>
  <c r="AD8" i="31"/>
  <c r="AI1" i="31" s="1"/>
  <c r="AI22" i="31"/>
  <c r="J71" i="31"/>
  <c r="AS26" i="39"/>
  <c r="AH26" i="39" s="1"/>
  <c r="AH10" i="39" s="1"/>
  <c r="Y24" i="31"/>
  <c r="AR7" i="39"/>
  <c r="AR27" i="39" s="1"/>
  <c r="AG27" i="39" s="1"/>
  <c r="AG3" i="39"/>
  <c r="AR2" i="39"/>
  <c r="AD23" i="31"/>
  <c r="AD71" i="31" s="1"/>
  <c r="H56" i="18"/>
  <c r="DN23" i="31"/>
  <c r="N75" i="31"/>
  <c r="I75" i="31"/>
  <c r="DL21" i="31"/>
  <c r="DS21" i="31" s="1"/>
  <c r="DZ21" i="31" s="1"/>
  <c r="EG21" i="31" s="1"/>
  <c r="BC73" i="31"/>
  <c r="K59" i="33"/>
  <c r="BC26" i="31"/>
  <c r="F26" i="31" s="1"/>
  <c r="U30" i="29" s="1"/>
  <c r="I28" i="31"/>
  <c r="EP28" i="31" s="1"/>
  <c r="AX74" i="31"/>
  <c r="M60" i="33"/>
  <c r="P60" i="33" s="1"/>
  <c r="C3" i="33"/>
  <c r="C61" i="33" s="1"/>
  <c r="AX27" i="31"/>
  <c r="H60" i="33"/>
  <c r="AQ76" i="31"/>
  <c r="AF76" i="31"/>
  <c r="M75" i="31"/>
  <c r="L77" i="31"/>
  <c r="K77" i="31"/>
  <c r="M2" i="31"/>
  <c r="CD4" i="31"/>
  <c r="CD2" i="31" s="1"/>
  <c r="H26" i="31"/>
  <c r="N28" i="31"/>
  <c r="N2" i="31"/>
  <c r="H27" i="31"/>
  <c r="N9" i="31"/>
  <c r="M28" i="31"/>
  <c r="M9" i="31"/>
  <c r="AH75" i="31"/>
  <c r="AO78" i="31"/>
  <c r="AR29" i="31"/>
  <c r="AQ4" i="31"/>
  <c r="AQ29" i="31"/>
  <c r="AH4" i="31"/>
  <c r="CE4" i="31"/>
  <c r="CE2" i="31" s="1"/>
  <c r="AG9" i="31"/>
  <c r="AF29" i="31"/>
  <c r="DO23" i="31" s="1"/>
  <c r="O62" i="18"/>
  <c r="E63" i="18"/>
  <c r="G62" i="18"/>
  <c r="AG28" i="31"/>
  <c r="AG75" i="31"/>
  <c r="AF4" i="31"/>
  <c r="AE29" i="31"/>
  <c r="AH28" i="31"/>
  <c r="E63" i="19"/>
  <c r="L30" i="31" s="1"/>
  <c r="O62" i="19"/>
  <c r="G62" i="19"/>
  <c r="D63" i="19"/>
  <c r="K30" i="31" s="1"/>
  <c r="N62" i="19"/>
  <c r="F62" i="19"/>
  <c r="F62" i="18"/>
  <c r="D63" i="18"/>
  <c r="AE30" i="31" s="1"/>
  <c r="N62" i="18"/>
  <c r="D64" i="17"/>
  <c r="AO31" i="31" s="1"/>
  <c r="N63" i="17"/>
  <c r="F63" i="17"/>
  <c r="O63" i="17"/>
  <c r="G20" i="31" l="1"/>
  <c r="V24" i="29" s="1"/>
  <c r="T24" i="29"/>
  <c r="G21" i="31"/>
  <c r="V25" i="29" s="1"/>
  <c r="T25" i="29"/>
  <c r="EQ24" i="31"/>
  <c r="B24" i="31"/>
  <c r="Q28" i="29" s="1"/>
  <c r="AP78" i="31"/>
  <c r="ES22" i="31"/>
  <c r="D22" i="31"/>
  <c r="S26" i="29" s="1"/>
  <c r="E64" i="17"/>
  <c r="AP31" i="31" s="1"/>
  <c r="DP25" i="31" s="1"/>
  <c r="G63" i="17"/>
  <c r="AR30" i="31" s="1"/>
  <c r="AX9" i="31"/>
  <c r="AX4" i="31" s="1"/>
  <c r="BD27" i="31"/>
  <c r="AS69" i="31"/>
  <c r="ET21" i="31"/>
  <c r="EV21" i="31" s="1"/>
  <c r="ER23" i="31"/>
  <c r="Y72" i="31"/>
  <c r="T73" i="31"/>
  <c r="AI23" i="31"/>
  <c r="AR28" i="39"/>
  <c r="AG28" i="39" s="1"/>
  <c r="AI8" i="31"/>
  <c r="CE8" i="31" s="1"/>
  <c r="F4" i="44" s="1"/>
  <c r="AI70" i="31"/>
  <c r="AT26" i="39"/>
  <c r="AI26" i="39" s="1"/>
  <c r="AI10" i="39" s="1"/>
  <c r="J72" i="31"/>
  <c r="C57" i="17"/>
  <c r="AN70" i="31"/>
  <c r="AN8" i="31"/>
  <c r="AS1" i="31" s="1"/>
  <c r="P1" i="31"/>
  <c r="CD8" i="31"/>
  <c r="E4" i="44" s="1"/>
  <c r="H59" i="34"/>
  <c r="T26" i="31"/>
  <c r="H57" i="18"/>
  <c r="AD24" i="31"/>
  <c r="AD72" i="31" s="1"/>
  <c r="AF27" i="39"/>
  <c r="AU25" i="39"/>
  <c r="AJ25" i="39" s="1"/>
  <c r="H56" i="17"/>
  <c r="AN23" i="31"/>
  <c r="Y25" i="31"/>
  <c r="C59" i="19"/>
  <c r="O24" i="31"/>
  <c r="C24" i="31" s="1"/>
  <c r="R28" i="29" s="1"/>
  <c r="D4" i="44"/>
  <c r="P4" i="44" s="1"/>
  <c r="C60" i="34"/>
  <c r="AS22" i="31"/>
  <c r="C52" i="40"/>
  <c r="AB28" i="39"/>
  <c r="AF28" i="39" s="1"/>
  <c r="AL28" i="39" s="1"/>
  <c r="AK8" i="31"/>
  <c r="AS7" i="39"/>
  <c r="AS27" i="39" s="1"/>
  <c r="AH27" i="39" s="1"/>
  <c r="AS2" i="39"/>
  <c r="O71" i="31"/>
  <c r="C58" i="18"/>
  <c r="H58" i="19"/>
  <c r="J25" i="31"/>
  <c r="DE9" i="31"/>
  <c r="DE12" i="31" s="1"/>
  <c r="AQ77" i="31"/>
  <c r="DN24" i="31"/>
  <c r="I76" i="31"/>
  <c r="DL22" i="31"/>
  <c r="DS22" i="31" s="1"/>
  <c r="DZ22" i="31" s="1"/>
  <c r="EG22" i="31" s="1"/>
  <c r="BC74" i="31"/>
  <c r="AH76" i="31"/>
  <c r="AX2" i="31"/>
  <c r="AX75" i="31"/>
  <c r="I29" i="31"/>
  <c r="EP29" i="31" s="1"/>
  <c r="BC27" i="31"/>
  <c r="K60" i="33"/>
  <c r="C62" i="33"/>
  <c r="M61" i="33"/>
  <c r="AX28" i="31"/>
  <c r="H61" i="33"/>
  <c r="AF77" i="31"/>
  <c r="AR77" i="31"/>
  <c r="AO79" i="31"/>
  <c r="AG4" i="31"/>
  <c r="DF9" i="31"/>
  <c r="DF12" i="31" s="1"/>
  <c r="M29" i="31"/>
  <c r="L78" i="31"/>
  <c r="G9" i="31"/>
  <c r="M4" i="31"/>
  <c r="N4" i="31"/>
  <c r="N29" i="31"/>
  <c r="M76" i="31"/>
  <c r="N76" i="31"/>
  <c r="K78" i="31"/>
  <c r="AG76" i="31"/>
  <c r="AQ30" i="31"/>
  <c r="AG29" i="31"/>
  <c r="AE77" i="31"/>
  <c r="AE78" i="31" s="1"/>
  <c r="AH29" i="31"/>
  <c r="AF30" i="31"/>
  <c r="O63" i="18"/>
  <c r="G63" i="18"/>
  <c r="E64" i="18"/>
  <c r="N63" i="19"/>
  <c r="F63" i="19"/>
  <c r="D64" i="19"/>
  <c r="K31" i="31" s="1"/>
  <c r="E64" i="19"/>
  <c r="L31" i="31" s="1"/>
  <c r="O63" i="19"/>
  <c r="G63" i="19"/>
  <c r="F63" i="18"/>
  <c r="D64" i="18"/>
  <c r="AE31" i="31" s="1"/>
  <c r="N63" i="18"/>
  <c r="F64" i="17"/>
  <c r="D65" i="17"/>
  <c r="AO32" i="31" s="1"/>
  <c r="AO10" i="31" s="1"/>
  <c r="AO5" i="31" s="1"/>
  <c r="N64" i="17"/>
  <c r="BC2" i="31" l="1"/>
  <c r="AT2" i="39"/>
  <c r="BC9" i="31"/>
  <c r="CG9" i="31" s="1"/>
  <c r="F27" i="31"/>
  <c r="EQ25" i="31"/>
  <c r="B25" i="31"/>
  <c r="Q29" i="29" s="1"/>
  <c r="G64" i="17"/>
  <c r="AR31" i="31" s="1"/>
  <c r="AP79" i="31"/>
  <c r="E65" i="17"/>
  <c r="AP32" i="31" s="1"/>
  <c r="AP10" i="31" s="1"/>
  <c r="AP5" i="31" s="1"/>
  <c r="ET22" i="31"/>
  <c r="EV22" i="31" s="1"/>
  <c r="E22" i="31"/>
  <c r="O64" i="17"/>
  <c r="ES23" i="31"/>
  <c r="D23" i="31"/>
  <c r="S27" i="29" s="1"/>
  <c r="S60" i="33"/>
  <c r="O14" i="29"/>
  <c r="ER24" i="31"/>
  <c r="T74" i="31"/>
  <c r="AN71" i="31"/>
  <c r="Y73" i="31"/>
  <c r="H58" i="18"/>
  <c r="AD25" i="31"/>
  <c r="AS28" i="39"/>
  <c r="AH28" i="39" s="1"/>
  <c r="AS8" i="31"/>
  <c r="CF8" i="31" s="1"/>
  <c r="G4" i="44" s="1"/>
  <c r="I4" i="44" s="1"/>
  <c r="AS70" i="31"/>
  <c r="E15" i="44"/>
  <c r="C61" i="34"/>
  <c r="O72" i="31"/>
  <c r="AU26" i="39"/>
  <c r="AJ26" i="39" s="1"/>
  <c r="AJ10" i="39" s="1"/>
  <c r="AR29" i="39"/>
  <c r="AG29" i="39" s="1"/>
  <c r="C60" i="19"/>
  <c r="AJ1" i="31"/>
  <c r="AL27" i="39"/>
  <c r="T27" i="31"/>
  <c r="H60" i="34"/>
  <c r="C3" i="34"/>
  <c r="C58" i="17"/>
  <c r="J73" i="31"/>
  <c r="AH3" i="39"/>
  <c r="J26" i="31"/>
  <c r="H59" i="19"/>
  <c r="AI24" i="31"/>
  <c r="E14" i="44"/>
  <c r="AN24" i="31"/>
  <c r="H57" i="17"/>
  <c r="C59" i="18"/>
  <c r="AI71" i="31"/>
  <c r="O25" i="31"/>
  <c r="C53" i="40"/>
  <c r="AB29" i="39"/>
  <c r="AF29" i="39" s="1"/>
  <c r="AL29" i="39" s="1"/>
  <c r="E13" i="44"/>
  <c r="AT7" i="39"/>
  <c r="AT27" i="39" s="1"/>
  <c r="AI27" i="39" s="1"/>
  <c r="AS23" i="31"/>
  <c r="Y26" i="31"/>
  <c r="AQ78" i="31"/>
  <c r="DN25" i="31"/>
  <c r="AF78" i="31"/>
  <c r="DO24" i="31"/>
  <c r="I77" i="31"/>
  <c r="DL23" i="31"/>
  <c r="DS23" i="31" s="1"/>
  <c r="DZ23" i="31" s="1"/>
  <c r="EG23" i="31" s="1"/>
  <c r="AG77" i="31"/>
  <c r="BC75" i="31"/>
  <c r="AH77" i="31"/>
  <c r="I30" i="31"/>
  <c r="EP30" i="31" s="1"/>
  <c r="AX76" i="31"/>
  <c r="BC28" i="31"/>
  <c r="F28" i="31" s="1"/>
  <c r="U32" i="29" s="1"/>
  <c r="K61" i="33"/>
  <c r="AX29" i="31"/>
  <c r="M62" i="33"/>
  <c r="C63" i="33"/>
  <c r="H62" i="33"/>
  <c r="L79" i="31"/>
  <c r="N30" i="31"/>
  <c r="K79" i="31"/>
  <c r="M30" i="31"/>
  <c r="N77" i="31"/>
  <c r="M77" i="31"/>
  <c r="AR78" i="31"/>
  <c r="AQ31" i="31"/>
  <c r="AO80" i="31"/>
  <c r="AF31" i="31"/>
  <c r="G64" i="18"/>
  <c r="E65" i="18"/>
  <c r="O64" i="18"/>
  <c r="AH30" i="31"/>
  <c r="AE79" i="31"/>
  <c r="AG30" i="31"/>
  <c r="O64" i="19"/>
  <c r="G64" i="19"/>
  <c r="E65" i="19"/>
  <c r="L32" i="31" s="1"/>
  <c r="N64" i="19"/>
  <c r="F64" i="19"/>
  <c r="D65" i="19"/>
  <c r="K32" i="31" s="1"/>
  <c r="F64" i="18"/>
  <c r="D65" i="18"/>
  <c r="AE32" i="31" s="1"/>
  <c r="AE10" i="31" s="1"/>
  <c r="AE5" i="31" s="1"/>
  <c r="N64" i="18"/>
  <c r="N65" i="17"/>
  <c r="F65" i="17"/>
  <c r="D66" i="17"/>
  <c r="AO33" i="31" s="1"/>
  <c r="BC4" i="31" l="1"/>
  <c r="BD2" i="31"/>
  <c r="G65" i="17"/>
  <c r="E66" i="17"/>
  <c r="AP33" i="31" s="1"/>
  <c r="DP27" i="31" s="1"/>
  <c r="AP80" i="31"/>
  <c r="F59" i="31"/>
  <c r="U31" i="29"/>
  <c r="G22" i="31"/>
  <c r="V26" i="29" s="1"/>
  <c r="T26" i="29"/>
  <c r="Q13" i="29" s="1"/>
  <c r="O65" i="17"/>
  <c r="DP26" i="31"/>
  <c r="ER25" i="31"/>
  <c r="C25" i="31"/>
  <c r="R29" i="29" s="1"/>
  <c r="EQ26" i="31"/>
  <c r="B26" i="31"/>
  <c r="Q30" i="29" s="1"/>
  <c r="ET23" i="31"/>
  <c r="EV23" i="31" s="1"/>
  <c r="E23" i="31"/>
  <c r="ES24" i="31"/>
  <c r="D24" i="31"/>
  <c r="S28" i="29" s="1"/>
  <c r="Y74" i="31"/>
  <c r="CI8" i="31"/>
  <c r="AT1" i="31"/>
  <c r="AN72" i="31"/>
  <c r="T28" i="31"/>
  <c r="H61" i="34"/>
  <c r="E16" i="44"/>
  <c r="AS24" i="31"/>
  <c r="AS71" i="31"/>
  <c r="C61" i="19"/>
  <c r="AR30" i="39"/>
  <c r="AG30" i="39" s="1"/>
  <c r="O73" i="31"/>
  <c r="O26" i="31"/>
  <c r="AS29" i="39"/>
  <c r="AH29" i="39" s="1"/>
  <c r="C60" i="18"/>
  <c r="AI3" i="39"/>
  <c r="AI25" i="31"/>
  <c r="AT28" i="39"/>
  <c r="AI28" i="39" s="1"/>
  <c r="AI72" i="31"/>
  <c r="H58" i="17"/>
  <c r="AN25" i="31"/>
  <c r="C59" i="17"/>
  <c r="AJ3" i="39"/>
  <c r="C54" i="40"/>
  <c r="AB30" i="39"/>
  <c r="AF30" i="39" s="1"/>
  <c r="AL30" i="39" s="1"/>
  <c r="J74" i="31"/>
  <c r="C3" i="19"/>
  <c r="H60" i="19"/>
  <c r="J27" i="31"/>
  <c r="J9" i="31" s="1"/>
  <c r="AU7" i="39"/>
  <c r="AU27" i="39" s="1"/>
  <c r="AJ27" i="39" s="1"/>
  <c r="AU2" i="39"/>
  <c r="AD73" i="31"/>
  <c r="T9" i="31"/>
  <c r="T75" i="31"/>
  <c r="H59" i="18"/>
  <c r="AD26" i="31"/>
  <c r="Y27" i="31"/>
  <c r="C62" i="34"/>
  <c r="CG13" i="31"/>
  <c r="H5" i="44"/>
  <c r="AQ79" i="31"/>
  <c r="K10" i="31"/>
  <c r="K5" i="31" s="1"/>
  <c r="BC76" i="31"/>
  <c r="L10" i="31"/>
  <c r="L5" i="31" s="1"/>
  <c r="DN26" i="31"/>
  <c r="AF79" i="31"/>
  <c r="DO25" i="31"/>
  <c r="I78" i="31"/>
  <c r="DL24" i="31"/>
  <c r="DS24" i="31" s="1"/>
  <c r="DZ24" i="31" s="1"/>
  <c r="EG24" i="31" s="1"/>
  <c r="AG78" i="31"/>
  <c r="AX77" i="31"/>
  <c r="I31" i="31"/>
  <c r="EP31" i="31" s="1"/>
  <c r="K62" i="33"/>
  <c r="BC29" i="31"/>
  <c r="F29" i="31" s="1"/>
  <c r="U33" i="29" s="1"/>
  <c r="AX30" i="31"/>
  <c r="M63" i="33"/>
  <c r="C64" i="33"/>
  <c r="H63" i="33"/>
  <c r="M78" i="31"/>
  <c r="L80" i="31"/>
  <c r="M31" i="31"/>
  <c r="N31" i="31"/>
  <c r="K80" i="31"/>
  <c r="N78" i="31"/>
  <c r="AR79" i="31"/>
  <c r="AQ32" i="31"/>
  <c r="AQ10" i="31" s="1"/>
  <c r="AT5" i="31"/>
  <c r="AR32" i="31"/>
  <c r="AR10" i="31" s="1"/>
  <c r="AO81" i="31"/>
  <c r="AH31" i="31"/>
  <c r="AG31" i="31"/>
  <c r="AE80" i="31"/>
  <c r="AH78" i="31"/>
  <c r="AF32" i="31"/>
  <c r="E66" i="18"/>
  <c r="O65" i="18"/>
  <c r="G65" i="18"/>
  <c r="O65" i="19"/>
  <c r="G65" i="19"/>
  <c r="E66" i="19"/>
  <c r="L33" i="31" s="1"/>
  <c r="D66" i="19"/>
  <c r="K33" i="31" s="1"/>
  <c r="N65" i="19"/>
  <c r="F65" i="19"/>
  <c r="N65" i="18"/>
  <c r="F65" i="18"/>
  <c r="D66" i="18"/>
  <c r="AE33" i="31" s="1"/>
  <c r="G66" i="17"/>
  <c r="F66" i="17"/>
  <c r="D67" i="17"/>
  <c r="AO34" i="31" s="1"/>
  <c r="N66" i="17"/>
  <c r="U38" i="29" l="1"/>
  <c r="R14" i="29"/>
  <c r="G23" i="31"/>
  <c r="V27" i="29" s="1"/>
  <c r="T27" i="29"/>
  <c r="AP81" i="31"/>
  <c r="E67" i="17"/>
  <c r="AP34" i="31" s="1"/>
  <c r="DP28" i="31" s="1"/>
  <c r="O66" i="17"/>
  <c r="ES25" i="31"/>
  <c r="D25" i="31"/>
  <c r="S29" i="29" s="1"/>
  <c r="ER26" i="31"/>
  <c r="C26" i="31"/>
  <c r="R30" i="29" s="1"/>
  <c r="ET24" i="31"/>
  <c r="EV24" i="31" s="1"/>
  <c r="E24" i="31"/>
  <c r="EQ27" i="31"/>
  <c r="B27" i="31"/>
  <c r="Q31" i="29" s="1"/>
  <c r="Q38" i="29" s="1"/>
  <c r="E18" i="44"/>
  <c r="E21" i="44" s="1"/>
  <c r="D28" i="44" s="1"/>
  <c r="D34" i="44" s="1"/>
  <c r="Q16" i="29"/>
  <c r="AI73" i="31"/>
  <c r="AD74" i="31"/>
  <c r="AI26" i="31"/>
  <c r="AU28" i="39"/>
  <c r="AJ28" i="39" s="1"/>
  <c r="AT29" i="39"/>
  <c r="AI29" i="39" s="1"/>
  <c r="AS30" i="39"/>
  <c r="AH30" i="39" s="1"/>
  <c r="C60" i="17"/>
  <c r="AN73" i="31"/>
  <c r="C61" i="18"/>
  <c r="J28" i="31"/>
  <c r="Y28" i="31"/>
  <c r="J75" i="31"/>
  <c r="H59" i="17"/>
  <c r="AN26" i="31"/>
  <c r="AS25" i="31"/>
  <c r="T76" i="31"/>
  <c r="H62" i="34"/>
  <c r="T29" i="31"/>
  <c r="Y2" i="31"/>
  <c r="T4" i="31"/>
  <c r="AX78" i="31"/>
  <c r="Y9" i="31"/>
  <c r="Y75" i="31"/>
  <c r="H60" i="18"/>
  <c r="AD27" i="31"/>
  <c r="C3" i="18"/>
  <c r="O74" i="31"/>
  <c r="C63" i="34"/>
  <c r="J4" i="31"/>
  <c r="O2" i="31"/>
  <c r="AS72" i="31"/>
  <c r="O27" i="31"/>
  <c r="C55" i="40"/>
  <c r="AB31" i="39"/>
  <c r="AR31" i="39"/>
  <c r="AG31" i="39" s="1"/>
  <c r="C62" i="19"/>
  <c r="H6" i="44"/>
  <c r="F16" i="44"/>
  <c r="F17" i="44"/>
  <c r="DN27" i="31"/>
  <c r="BC77" i="31"/>
  <c r="AF10" i="31"/>
  <c r="AF5" i="31" s="1"/>
  <c r="DO26" i="31"/>
  <c r="I79" i="31"/>
  <c r="DL25" i="31"/>
  <c r="DS25" i="31" s="1"/>
  <c r="DZ25" i="31" s="1"/>
  <c r="EG25" i="31" s="1"/>
  <c r="AH79" i="31"/>
  <c r="M79" i="31"/>
  <c r="BC30" i="31"/>
  <c r="F30" i="31" s="1"/>
  <c r="U34" i="29" s="1"/>
  <c r="K63" i="33"/>
  <c r="M64" i="33"/>
  <c r="AX31" i="31"/>
  <c r="C65" i="33"/>
  <c r="H64" i="33"/>
  <c r="I32" i="31"/>
  <c r="EP32" i="31" s="1"/>
  <c r="AQ5" i="31"/>
  <c r="DG10" i="31"/>
  <c r="DG13" i="31" s="1"/>
  <c r="N79" i="31"/>
  <c r="N32" i="31"/>
  <c r="M32" i="31"/>
  <c r="K81" i="31"/>
  <c r="L81" i="31"/>
  <c r="AP82" i="31"/>
  <c r="AQ33" i="31"/>
  <c r="AR80" i="31"/>
  <c r="AO82" i="31"/>
  <c r="AR33" i="31"/>
  <c r="AR5" i="31"/>
  <c r="AQ80" i="31"/>
  <c r="AE81" i="31"/>
  <c r="AG79" i="31"/>
  <c r="AG32" i="31"/>
  <c r="AG10" i="31" s="1"/>
  <c r="AH32" i="31"/>
  <c r="AH10" i="31" s="1"/>
  <c r="AF33" i="31"/>
  <c r="DO27" i="31" s="1"/>
  <c r="E67" i="18"/>
  <c r="O66" i="18"/>
  <c r="G66" i="18"/>
  <c r="AF80" i="31"/>
  <c r="D67" i="19"/>
  <c r="K34" i="31" s="1"/>
  <c r="F66" i="19"/>
  <c r="M33" i="31" s="1"/>
  <c r="N66" i="19"/>
  <c r="E67" i="19"/>
  <c r="L34" i="31" s="1"/>
  <c r="O66" i="19"/>
  <c r="G66" i="19"/>
  <c r="D67" i="18"/>
  <c r="AE34" i="31" s="1"/>
  <c r="N66" i="18"/>
  <c r="F66" i="18"/>
  <c r="D68" i="17"/>
  <c r="AO35" i="31" s="1"/>
  <c r="N67" i="17"/>
  <c r="F67" i="17"/>
  <c r="O67" i="17"/>
  <c r="E68" i="17"/>
  <c r="AP35" i="31" s="1"/>
  <c r="DP29" i="31" s="1"/>
  <c r="G67" i="17" l="1"/>
  <c r="G24" i="31"/>
  <c r="V28" i="29" s="1"/>
  <c r="T28" i="29"/>
  <c r="ES26" i="31"/>
  <c r="D26" i="31"/>
  <c r="S30" i="29" s="1"/>
  <c r="O9" i="31"/>
  <c r="O4" i="31" s="1"/>
  <c r="C27" i="31"/>
  <c r="EQ28" i="31"/>
  <c r="B28" i="31"/>
  <c r="Q32" i="29" s="1"/>
  <c r="ET25" i="31"/>
  <c r="EV25" i="31" s="1"/>
  <c r="E25" i="31"/>
  <c r="T29" i="29" s="1"/>
  <c r="B59" i="31"/>
  <c r="G17" i="44"/>
  <c r="G16" i="44"/>
  <c r="ER27" i="31"/>
  <c r="AI74" i="31"/>
  <c r="AS73" i="31"/>
  <c r="T77" i="31"/>
  <c r="AD75" i="31"/>
  <c r="AD9" i="31"/>
  <c r="CC9" i="31"/>
  <c r="Y4" i="31"/>
  <c r="C63" i="19"/>
  <c r="C62" i="18"/>
  <c r="J29" i="31"/>
  <c r="AS26" i="31"/>
  <c r="AS31" i="39"/>
  <c r="AH31" i="39" s="1"/>
  <c r="C61" i="17"/>
  <c r="C64" i="34"/>
  <c r="AR3" i="39"/>
  <c r="AR32" i="39"/>
  <c r="AG32" i="39" s="1"/>
  <c r="T30" i="31"/>
  <c r="H63" i="34"/>
  <c r="Y29" i="31"/>
  <c r="H60" i="17"/>
  <c r="C3" i="17"/>
  <c r="AN27" i="31"/>
  <c r="AN9" i="31" s="1"/>
  <c r="AX79" i="31"/>
  <c r="AI27" i="31"/>
  <c r="Z2" i="31"/>
  <c r="AU29" i="39"/>
  <c r="AJ29" i="39" s="1"/>
  <c r="AT30" i="39"/>
  <c r="AI30" i="39" s="1"/>
  <c r="AF31" i="39"/>
  <c r="AB4" i="39"/>
  <c r="AN74" i="31"/>
  <c r="AD28" i="31"/>
  <c r="C56" i="40"/>
  <c r="AB32" i="39"/>
  <c r="O75" i="31"/>
  <c r="J76" i="31"/>
  <c r="Y76" i="31"/>
  <c r="M10" i="31"/>
  <c r="M5" i="31" s="1"/>
  <c r="CD5" i="31"/>
  <c r="N10" i="31"/>
  <c r="DN28" i="31"/>
  <c r="BC78" i="31"/>
  <c r="I80" i="31"/>
  <c r="DL26" i="31"/>
  <c r="DS26" i="31" s="1"/>
  <c r="DZ26" i="31" s="1"/>
  <c r="EG26" i="31" s="1"/>
  <c r="M65" i="33"/>
  <c r="C66" i="33"/>
  <c r="AX32" i="31"/>
  <c r="H65" i="33"/>
  <c r="I33" i="31"/>
  <c r="EP33" i="31" s="1"/>
  <c r="BC31" i="31"/>
  <c r="F31" i="31" s="1"/>
  <c r="U35" i="29" s="1"/>
  <c r="K64" i="33"/>
  <c r="AQ81" i="31"/>
  <c r="AF81" i="31"/>
  <c r="AG5" i="31"/>
  <c r="DF10" i="31"/>
  <c r="DF13" i="31" s="1"/>
  <c r="K82" i="31"/>
  <c r="L82" i="31"/>
  <c r="N33" i="31"/>
  <c r="N80" i="31"/>
  <c r="M80" i="31"/>
  <c r="AH5" i="31"/>
  <c r="AP83" i="31"/>
  <c r="AO83" i="31"/>
  <c r="AR81" i="31"/>
  <c r="AR34" i="31"/>
  <c r="AQ34" i="31"/>
  <c r="AH80" i="31"/>
  <c r="AG33" i="31"/>
  <c r="AH33" i="31"/>
  <c r="AF34" i="31"/>
  <c r="DO28" i="31" s="1"/>
  <c r="E68" i="18"/>
  <c r="G67" i="18"/>
  <c r="O67" i="18"/>
  <c r="AG80" i="31"/>
  <c r="AE82" i="31"/>
  <c r="F67" i="19"/>
  <c r="D68" i="19"/>
  <c r="K35" i="31" s="1"/>
  <c r="N67" i="19"/>
  <c r="E68" i="19"/>
  <c r="L35" i="31" s="1"/>
  <c r="G67" i="19"/>
  <c r="O67" i="19"/>
  <c r="D68" i="18"/>
  <c r="AE35" i="31" s="1"/>
  <c r="F67" i="18"/>
  <c r="N67" i="18"/>
  <c r="E69" i="17"/>
  <c r="AP36" i="31" s="1"/>
  <c r="DP30" i="31" s="1"/>
  <c r="O68" i="17"/>
  <c r="G68" i="17"/>
  <c r="N68" i="17"/>
  <c r="F68" i="17"/>
  <c r="D69" i="17"/>
  <c r="AO36" i="31" s="1"/>
  <c r="G25" i="31" l="1"/>
  <c r="V29" i="29" s="1"/>
  <c r="C59" i="31"/>
  <c r="R31" i="29"/>
  <c r="R38" i="29" s="1"/>
  <c r="EQ29" i="31"/>
  <c r="B29" i="31"/>
  <c r="Q33" i="29" s="1"/>
  <c r="ET26" i="31"/>
  <c r="EV26" i="31" s="1"/>
  <c r="E26" i="31"/>
  <c r="ES27" i="31"/>
  <c r="D27" i="31"/>
  <c r="P2" i="31"/>
  <c r="CD9" i="31"/>
  <c r="CD13" i="31" s="1"/>
  <c r="AD76" i="31"/>
  <c r="AX80" i="31"/>
  <c r="T78" i="31"/>
  <c r="AI75" i="31"/>
  <c r="AS74" i="31"/>
  <c r="Y30" i="31"/>
  <c r="J77" i="31"/>
  <c r="AL31" i="39"/>
  <c r="AF4" i="39"/>
  <c r="C62" i="17"/>
  <c r="T31" i="31"/>
  <c r="T79" i="31" s="1"/>
  <c r="H64" i="34"/>
  <c r="AF32" i="39"/>
  <c r="C63" i="18"/>
  <c r="AU30" i="39"/>
  <c r="AJ30" i="39" s="1"/>
  <c r="AS27" i="31"/>
  <c r="E27" i="31" s="1"/>
  <c r="D5" i="44"/>
  <c r="CC13" i="31"/>
  <c r="C57" i="40"/>
  <c r="AB33" i="39"/>
  <c r="AF33" i="39" s="1"/>
  <c r="AL33" i="39" s="1"/>
  <c r="AS2" i="31"/>
  <c r="AN4" i="31"/>
  <c r="AT31" i="39"/>
  <c r="AI31" i="39" s="1"/>
  <c r="AN28" i="31"/>
  <c r="AD4" i="31"/>
  <c r="AI2" i="31"/>
  <c r="AK9" i="31"/>
  <c r="Y77" i="31"/>
  <c r="AI9" i="31"/>
  <c r="C65" i="34"/>
  <c r="C64" i="19"/>
  <c r="AD29" i="31"/>
  <c r="AN75" i="31"/>
  <c r="AR33" i="39"/>
  <c r="AG33" i="39" s="1"/>
  <c r="AS32" i="39"/>
  <c r="AH32" i="39" s="1"/>
  <c r="AS3" i="39"/>
  <c r="J30" i="31"/>
  <c r="AG4" i="39"/>
  <c r="DE10" i="31"/>
  <c r="DE13" i="31" s="1"/>
  <c r="BC79" i="31"/>
  <c r="G10" i="31"/>
  <c r="N5" i="31"/>
  <c r="DN29" i="31"/>
  <c r="I81" i="31"/>
  <c r="DL27" i="31"/>
  <c r="DS27" i="31" s="1"/>
  <c r="DZ27" i="31" s="1"/>
  <c r="EG27" i="31" s="1"/>
  <c r="AF82" i="31"/>
  <c r="C67" i="33"/>
  <c r="M66" i="33"/>
  <c r="AX33" i="31"/>
  <c r="H66" i="33"/>
  <c r="I34" i="31"/>
  <c r="EP34" i="31" s="1"/>
  <c r="AX10" i="31"/>
  <c r="K65" i="33"/>
  <c r="BC32" i="31"/>
  <c r="F32" i="31" s="1"/>
  <c r="U36" i="29" s="1"/>
  <c r="S14" i="29" s="1"/>
  <c r="AG81" i="31"/>
  <c r="N81" i="31"/>
  <c r="M81" i="31"/>
  <c r="K83" i="31"/>
  <c r="M34" i="31"/>
  <c r="L83" i="31"/>
  <c r="N34" i="31"/>
  <c r="AR82" i="31"/>
  <c r="AR35" i="31"/>
  <c r="AO84" i="31"/>
  <c r="AQ82" i="31"/>
  <c r="AP84" i="31"/>
  <c r="AQ35" i="31"/>
  <c r="AH81" i="31"/>
  <c r="AE83" i="31"/>
  <c r="AH34" i="31"/>
  <c r="AF35" i="31"/>
  <c r="DO29" i="31" s="1"/>
  <c r="E69" i="18"/>
  <c r="O68" i="18"/>
  <c r="G68" i="18"/>
  <c r="AG34" i="31"/>
  <c r="O68" i="19"/>
  <c r="G68" i="19"/>
  <c r="E69" i="19"/>
  <c r="L36" i="31" s="1"/>
  <c r="N68" i="19"/>
  <c r="F68" i="19"/>
  <c r="D69" i="19"/>
  <c r="K36" i="31" s="1"/>
  <c r="D69" i="18"/>
  <c r="AE36" i="31" s="1"/>
  <c r="N68" i="18"/>
  <c r="F68" i="18"/>
  <c r="G69" i="17"/>
  <c r="E70" i="17"/>
  <c r="AP37" i="31" s="1"/>
  <c r="DP31" i="31" s="1"/>
  <c r="O69" i="17"/>
  <c r="D70" i="17"/>
  <c r="AO37" i="31" s="1"/>
  <c r="F69" i="17"/>
  <c r="N69" i="17"/>
  <c r="E59" i="31" l="1"/>
  <c r="T31" i="29"/>
  <c r="T38" i="29" s="1"/>
  <c r="D59" i="31"/>
  <c r="S31" i="29"/>
  <c r="S38" i="29" s="1"/>
  <c r="G26" i="31"/>
  <c r="V30" i="29" s="1"/>
  <c r="T30" i="29"/>
  <c r="R13" i="29" s="1"/>
  <c r="E5" i="44"/>
  <c r="F14" i="44" s="1"/>
  <c r="AD77" i="31"/>
  <c r="G27" i="31"/>
  <c r="EQ30" i="31"/>
  <c r="B30" i="31"/>
  <c r="Q34" i="29" s="1"/>
  <c r="AS75" i="31"/>
  <c r="ET27" i="31"/>
  <c r="EV27" i="31" s="1"/>
  <c r="AJ2" i="31"/>
  <c r="Y78" i="31"/>
  <c r="AU4" i="31"/>
  <c r="AS33" i="39"/>
  <c r="AH33" i="39" s="1"/>
  <c r="AT32" i="39"/>
  <c r="AI32" i="39" s="1"/>
  <c r="C63" i="17"/>
  <c r="Y31" i="31"/>
  <c r="J31" i="31"/>
  <c r="AT3" i="39"/>
  <c r="C66" i="34"/>
  <c r="E6" i="44"/>
  <c r="T32" i="31"/>
  <c r="T80" i="31" s="1"/>
  <c r="H65" i="34"/>
  <c r="AU31" i="39"/>
  <c r="AJ31" i="39" s="1"/>
  <c r="AS9" i="31"/>
  <c r="AT2" i="31" s="1"/>
  <c r="F13" i="44"/>
  <c r="D6" i="44"/>
  <c r="AR34" i="39"/>
  <c r="AG34" i="39" s="1"/>
  <c r="AD30" i="31"/>
  <c r="C64" i="18"/>
  <c r="J78" i="31"/>
  <c r="AN76" i="31"/>
  <c r="C58" i="40"/>
  <c r="AB34" i="39"/>
  <c r="AF34" i="39" s="1"/>
  <c r="AL34" i="39" s="1"/>
  <c r="C65" i="19"/>
  <c r="AK4" i="31"/>
  <c r="CE9" i="31"/>
  <c r="AI4" i="31"/>
  <c r="AL32" i="39"/>
  <c r="AN29" i="31"/>
  <c r="AH4" i="39"/>
  <c r="DN30" i="31"/>
  <c r="I82" i="31"/>
  <c r="DL28" i="31"/>
  <c r="DS28" i="31" s="1"/>
  <c r="DZ28" i="31" s="1"/>
  <c r="EG28" i="31" s="1"/>
  <c r="N82" i="31"/>
  <c r="AX34" i="31"/>
  <c r="M67" i="33"/>
  <c r="C68" i="33"/>
  <c r="H67" i="33"/>
  <c r="BC3" i="31"/>
  <c r="AX5" i="31"/>
  <c r="BC33" i="31"/>
  <c r="F33" i="31" s="1"/>
  <c r="K66" i="33"/>
  <c r="I35" i="31"/>
  <c r="EP35" i="31" s="1"/>
  <c r="BC10" i="31"/>
  <c r="BC80" i="31"/>
  <c r="AX81" i="31"/>
  <c r="AR83" i="31"/>
  <c r="AH82" i="31"/>
  <c r="K84" i="31"/>
  <c r="M82" i="31"/>
  <c r="M35" i="31"/>
  <c r="N35" i="31"/>
  <c r="L84" i="31"/>
  <c r="AR36" i="31"/>
  <c r="AP85" i="31"/>
  <c r="AQ36" i="31"/>
  <c r="AQ83" i="31"/>
  <c r="AO85" i="31"/>
  <c r="AH35" i="31"/>
  <c r="AF36" i="31"/>
  <c r="DO30" i="31" s="1"/>
  <c r="E70" i="18"/>
  <c r="O69" i="18"/>
  <c r="G69" i="18"/>
  <c r="AE84" i="31"/>
  <c r="AG82" i="31"/>
  <c r="AF83" i="31"/>
  <c r="AG35" i="31"/>
  <c r="O69" i="19"/>
  <c r="G69" i="19"/>
  <c r="E70" i="19"/>
  <c r="L37" i="31" s="1"/>
  <c r="D70" i="19"/>
  <c r="K37" i="31" s="1"/>
  <c r="F69" i="19"/>
  <c r="N69" i="19"/>
  <c r="N69" i="18"/>
  <c r="F69" i="18"/>
  <c r="D70" i="18"/>
  <c r="AE37" i="31" s="1"/>
  <c r="O70" i="17"/>
  <c r="R70" i="17" s="1"/>
  <c r="G70" i="17"/>
  <c r="E71" i="17"/>
  <c r="AP38" i="31" s="1"/>
  <c r="DP32" i="31" s="1"/>
  <c r="D71" i="17"/>
  <c r="AO38" i="31" s="1"/>
  <c r="N70" i="17"/>
  <c r="Q70" i="17" s="1"/>
  <c r="F70" i="17"/>
  <c r="G59" i="31" l="1"/>
  <c r="V31" i="29"/>
  <c r="V38" i="29" s="1"/>
  <c r="EQ31" i="31"/>
  <c r="B31" i="31"/>
  <c r="Q35" i="29" s="1"/>
  <c r="AU3" i="39"/>
  <c r="Y79" i="31"/>
  <c r="C66" i="19"/>
  <c r="J32" i="31"/>
  <c r="J10" i="31" s="1"/>
  <c r="Y32" i="31"/>
  <c r="AT33" i="39"/>
  <c r="AI33" i="39" s="1"/>
  <c r="AN77" i="31"/>
  <c r="F5" i="44"/>
  <c r="CE13" i="31"/>
  <c r="AD78" i="31"/>
  <c r="G13" i="44"/>
  <c r="H66" i="34"/>
  <c r="T33" i="31"/>
  <c r="T81" i="31" s="1"/>
  <c r="AR35" i="39"/>
  <c r="AG35" i="39" s="1"/>
  <c r="AS4" i="31"/>
  <c r="CF9" i="31"/>
  <c r="CI9" i="31" s="1"/>
  <c r="AS34" i="39"/>
  <c r="AH34" i="39" s="1"/>
  <c r="AI4" i="39"/>
  <c r="C65" i="18"/>
  <c r="AD31" i="31"/>
  <c r="C59" i="40"/>
  <c r="AB35" i="39"/>
  <c r="C64" i="17"/>
  <c r="AN30" i="31"/>
  <c r="AN78" i="31" s="1"/>
  <c r="C67" i="34"/>
  <c r="AU32" i="39"/>
  <c r="AJ32" i="39" s="1"/>
  <c r="AJ4" i="39"/>
  <c r="G14" i="44"/>
  <c r="J79" i="31"/>
  <c r="T10" i="31"/>
  <c r="DN31" i="31"/>
  <c r="I83" i="31"/>
  <c r="DL29" i="31"/>
  <c r="DS29" i="31" s="1"/>
  <c r="DZ29" i="31" s="1"/>
  <c r="EG29" i="31" s="1"/>
  <c r="AH83" i="31"/>
  <c r="AX82" i="31"/>
  <c r="AX35" i="31"/>
  <c r="C69" i="33"/>
  <c r="M68" i="33"/>
  <c r="H68" i="33"/>
  <c r="K67" i="33"/>
  <c r="BC34" i="31"/>
  <c r="F34" i="31" s="1"/>
  <c r="I36" i="31"/>
  <c r="EP36" i="31" s="1"/>
  <c r="AF84" i="31"/>
  <c r="BC81" i="31"/>
  <c r="BD3" i="31"/>
  <c r="CG10" i="31"/>
  <c r="BC5" i="31"/>
  <c r="AG83" i="31"/>
  <c r="L85" i="31"/>
  <c r="M83" i="31"/>
  <c r="N36" i="31"/>
  <c r="N83" i="31"/>
  <c r="M36" i="31"/>
  <c r="K85" i="31"/>
  <c r="AP86" i="31"/>
  <c r="AQ37" i="31"/>
  <c r="AO86" i="31"/>
  <c r="AR37" i="31"/>
  <c r="AR84" i="31"/>
  <c r="AQ84" i="31"/>
  <c r="AE85" i="31"/>
  <c r="AH36" i="31"/>
  <c r="AF37" i="31"/>
  <c r="DO31" i="31" s="1"/>
  <c r="E71" i="18"/>
  <c r="O70" i="18"/>
  <c r="R70" i="18" s="1"/>
  <c r="G70" i="18"/>
  <c r="AG36" i="31"/>
  <c r="F70" i="19"/>
  <c r="N70" i="19"/>
  <c r="Q70" i="19" s="1"/>
  <c r="D71" i="19"/>
  <c r="K38" i="31" s="1"/>
  <c r="G70" i="19"/>
  <c r="E71" i="19"/>
  <c r="L38" i="31" s="1"/>
  <c r="O70" i="19"/>
  <c r="R70" i="19" s="1"/>
  <c r="D71" i="18"/>
  <c r="AE38" i="31" s="1"/>
  <c r="F70" i="18"/>
  <c r="N70" i="18"/>
  <c r="Q70" i="18" s="1"/>
  <c r="F71" i="17"/>
  <c r="D72" i="17"/>
  <c r="AO39" i="31" s="1"/>
  <c r="N71" i="17"/>
  <c r="O71" i="17"/>
  <c r="E72" i="17"/>
  <c r="AP39" i="31" s="1"/>
  <c r="G71" i="17"/>
  <c r="EQ32" i="31" l="1"/>
  <c r="B32" i="31"/>
  <c r="Q36" i="29" s="1"/>
  <c r="S10" i="29" s="1"/>
  <c r="C67" i="19"/>
  <c r="J33" i="31"/>
  <c r="AT34" i="39"/>
  <c r="AI34" i="39" s="1"/>
  <c r="C65" i="17"/>
  <c r="AS35" i="39"/>
  <c r="AH35" i="39" s="1"/>
  <c r="Y10" i="31"/>
  <c r="Y80" i="31"/>
  <c r="CF13" i="31"/>
  <c r="CI13" i="31" s="1"/>
  <c r="G5" i="44"/>
  <c r="F15" i="44"/>
  <c r="R16" i="29" s="1"/>
  <c r="F6" i="44"/>
  <c r="T5" i="31"/>
  <c r="Y3" i="31"/>
  <c r="T34" i="31"/>
  <c r="T82" i="31" s="1"/>
  <c r="H67" i="34"/>
  <c r="AN31" i="31"/>
  <c r="AN79" i="31" s="1"/>
  <c r="AU33" i="39"/>
  <c r="AJ33" i="39" s="1"/>
  <c r="O3" i="31"/>
  <c r="J5" i="31"/>
  <c r="C68" i="34"/>
  <c r="C60" i="40"/>
  <c r="AB36" i="39"/>
  <c r="AF36" i="39" s="1"/>
  <c r="AL36" i="39" s="1"/>
  <c r="AD79" i="31"/>
  <c r="Y33" i="31"/>
  <c r="AF35" i="39"/>
  <c r="AD32" i="31"/>
  <c r="AR36" i="39"/>
  <c r="AG36" i="39" s="1"/>
  <c r="C66" i="18"/>
  <c r="J80" i="31"/>
  <c r="H7" i="44"/>
  <c r="L86" i="31"/>
  <c r="DN32" i="31"/>
  <c r="AP87" i="31"/>
  <c r="DP33" i="31"/>
  <c r="I84" i="31"/>
  <c r="DL30" i="31"/>
  <c r="DS30" i="31" s="1"/>
  <c r="DZ30" i="31" s="1"/>
  <c r="EG30" i="31" s="1"/>
  <c r="AG84" i="31"/>
  <c r="AF85" i="31"/>
  <c r="M84" i="31"/>
  <c r="K86" i="31"/>
  <c r="I37" i="31"/>
  <c r="EP37" i="31" s="1"/>
  <c r="BC82" i="31"/>
  <c r="K68" i="33"/>
  <c r="BC35" i="31"/>
  <c r="F35" i="31" s="1"/>
  <c r="AX83" i="31"/>
  <c r="M69" i="33"/>
  <c r="AX36" i="31"/>
  <c r="C70" i="33"/>
  <c r="H69" i="33"/>
  <c r="AQ85" i="31"/>
  <c r="AR85" i="31"/>
  <c r="M37" i="31"/>
  <c r="N37" i="31"/>
  <c r="N84" i="31"/>
  <c r="AQ38" i="31"/>
  <c r="AR38" i="31"/>
  <c r="AO87" i="31"/>
  <c r="AG37" i="31"/>
  <c r="AH37" i="31"/>
  <c r="AE86" i="31"/>
  <c r="AF38" i="31"/>
  <c r="O71" i="18"/>
  <c r="G71" i="18"/>
  <c r="E72" i="18"/>
  <c r="AH84" i="31"/>
  <c r="O71" i="19"/>
  <c r="G71" i="19"/>
  <c r="E72" i="19"/>
  <c r="L39" i="31" s="1"/>
  <c r="D72" i="19"/>
  <c r="K39" i="31" s="1"/>
  <c r="N71" i="19"/>
  <c r="F71" i="19"/>
  <c r="D72" i="18"/>
  <c r="AE39" i="31" s="1"/>
  <c r="N71" i="18"/>
  <c r="F71" i="18"/>
  <c r="N72" i="17"/>
  <c r="F72" i="17"/>
  <c r="D73" i="17"/>
  <c r="AO40" i="31" s="1"/>
  <c r="G72" i="17"/>
  <c r="E73" i="17"/>
  <c r="AP40" i="31" s="1"/>
  <c r="O72" i="17"/>
  <c r="EQ33" i="31" l="1"/>
  <c r="B33" i="31"/>
  <c r="Z3" i="31"/>
  <c r="Y81" i="31"/>
  <c r="AL35" i="39"/>
  <c r="T35" i="31"/>
  <c r="T83" i="31" s="1"/>
  <c r="H68" i="34"/>
  <c r="I5" i="44"/>
  <c r="G6" i="44"/>
  <c r="C68" i="19"/>
  <c r="C69" i="34"/>
  <c r="AS36" i="39"/>
  <c r="AH36" i="39" s="1"/>
  <c r="AR37" i="39"/>
  <c r="AG37" i="39" s="1"/>
  <c r="J81" i="31"/>
  <c r="AD33" i="31"/>
  <c r="G15" i="44"/>
  <c r="F18" i="44"/>
  <c r="F21" i="44" s="1"/>
  <c r="E28" i="44" s="1"/>
  <c r="CC10" i="31"/>
  <c r="Y5" i="31"/>
  <c r="AN32" i="31"/>
  <c r="C61" i="40"/>
  <c r="AB37" i="39"/>
  <c r="C66" i="17"/>
  <c r="C67" i="18"/>
  <c r="J34" i="31"/>
  <c r="AU34" i="39"/>
  <c r="AJ34" i="39" s="1"/>
  <c r="AD80" i="31"/>
  <c r="AD10" i="31"/>
  <c r="Y34" i="31"/>
  <c r="AT35" i="39"/>
  <c r="AI35" i="39" s="1"/>
  <c r="H8" i="44"/>
  <c r="H16" i="44"/>
  <c r="H17" i="44"/>
  <c r="K87" i="31"/>
  <c r="M85" i="31"/>
  <c r="L87" i="31"/>
  <c r="DN33" i="31"/>
  <c r="AF86" i="31"/>
  <c r="DO32" i="31"/>
  <c r="I85" i="31"/>
  <c r="DL31" i="31"/>
  <c r="DS31" i="31" s="1"/>
  <c r="DZ31" i="31" s="1"/>
  <c r="EG31" i="31" s="1"/>
  <c r="AP88" i="31"/>
  <c r="DP34" i="31"/>
  <c r="AG85" i="31"/>
  <c r="N85" i="31"/>
  <c r="AX84" i="31"/>
  <c r="AR86" i="31"/>
  <c r="AQ86" i="31"/>
  <c r="I38" i="31"/>
  <c r="EP38" i="31" s="1"/>
  <c r="BC83" i="31"/>
  <c r="BC36" i="31"/>
  <c r="F36" i="31" s="1"/>
  <c r="K69" i="33"/>
  <c r="C71" i="33"/>
  <c r="AX37" i="31"/>
  <c r="M70" i="33"/>
  <c r="P70" i="33" s="1"/>
  <c r="H70" i="33"/>
  <c r="AH85" i="31"/>
  <c r="M38" i="31"/>
  <c r="N38" i="31"/>
  <c r="AE87" i="31"/>
  <c r="AO88" i="31"/>
  <c r="AR39" i="31"/>
  <c r="AQ39" i="31"/>
  <c r="AG38" i="31"/>
  <c r="AH38" i="31"/>
  <c r="AF39" i="31"/>
  <c r="O72" i="18"/>
  <c r="G72" i="18"/>
  <c r="E73" i="18"/>
  <c r="E73" i="19"/>
  <c r="L40" i="31" s="1"/>
  <c r="G72" i="19"/>
  <c r="O72" i="19"/>
  <c r="D73" i="19"/>
  <c r="K40" i="31" s="1"/>
  <c r="N72" i="19"/>
  <c r="F72" i="19"/>
  <c r="D73" i="18"/>
  <c r="AE40" i="31" s="1"/>
  <c r="N72" i="18"/>
  <c r="F72" i="18"/>
  <c r="E74" i="17"/>
  <c r="AP41" i="31" s="1"/>
  <c r="G73" i="17"/>
  <c r="O73" i="17"/>
  <c r="N73" i="17"/>
  <c r="F73" i="17"/>
  <c r="D74" i="17"/>
  <c r="AO41" i="31" s="1"/>
  <c r="EQ34" i="31" l="1"/>
  <c r="B34" i="31"/>
  <c r="I17" i="44"/>
  <c r="I16" i="44"/>
  <c r="E31" i="44"/>
  <c r="E34" i="44"/>
  <c r="Y82" i="31"/>
  <c r="AI3" i="31"/>
  <c r="AD5" i="31"/>
  <c r="AH1" i="31" s="1"/>
  <c r="AD34" i="31"/>
  <c r="AT36" i="39"/>
  <c r="AI36" i="39" s="1"/>
  <c r="AD81" i="31"/>
  <c r="Y35" i="31"/>
  <c r="C67" i="17"/>
  <c r="D7" i="44"/>
  <c r="C69" i="19"/>
  <c r="J35" i="31"/>
  <c r="AR38" i="39"/>
  <c r="AG38" i="39" s="1"/>
  <c r="AN33" i="31"/>
  <c r="AS37" i="39"/>
  <c r="AH37" i="39" s="1"/>
  <c r="AF37" i="39"/>
  <c r="T36" i="31"/>
  <c r="T84" i="31" s="1"/>
  <c r="H69" i="34"/>
  <c r="AN80" i="31"/>
  <c r="AN10" i="31"/>
  <c r="AU35" i="39"/>
  <c r="AJ35" i="39" s="1"/>
  <c r="C62" i="40"/>
  <c r="AB38" i="39"/>
  <c r="AF38" i="39" s="1"/>
  <c r="AL38" i="39" s="1"/>
  <c r="G18" i="44"/>
  <c r="C68" i="18"/>
  <c r="J82" i="31"/>
  <c r="C70" i="34"/>
  <c r="I6" i="44"/>
  <c r="K88" i="31"/>
  <c r="M86" i="31"/>
  <c r="L88" i="31"/>
  <c r="DN34" i="31"/>
  <c r="AP89" i="31"/>
  <c r="DP35" i="31"/>
  <c r="I86" i="31"/>
  <c r="DL32" i="31"/>
  <c r="DS32" i="31" s="1"/>
  <c r="DZ32" i="31" s="1"/>
  <c r="EG32" i="31" s="1"/>
  <c r="AF87" i="31"/>
  <c r="DO33" i="31"/>
  <c r="AE88" i="31"/>
  <c r="AG86" i="31"/>
  <c r="AR87" i="31"/>
  <c r="N86" i="31"/>
  <c r="AX85" i="31"/>
  <c r="AH86" i="31"/>
  <c r="I39" i="31"/>
  <c r="EP39" i="31" s="1"/>
  <c r="BC37" i="31"/>
  <c r="F37" i="31" s="1"/>
  <c r="K70" i="33"/>
  <c r="S70" i="33" s="1"/>
  <c r="C72" i="33"/>
  <c r="AX38" i="31"/>
  <c r="M71" i="33"/>
  <c r="H71" i="33"/>
  <c r="BC84" i="31"/>
  <c r="AQ87" i="31"/>
  <c r="AO89" i="31"/>
  <c r="M39" i="31"/>
  <c r="N39" i="31"/>
  <c r="AR40" i="31"/>
  <c r="AQ40" i="31"/>
  <c r="AF40" i="31"/>
  <c r="G73" i="18"/>
  <c r="E74" i="18"/>
  <c r="O73" i="18"/>
  <c r="AH39" i="31"/>
  <c r="AG39" i="31"/>
  <c r="E74" i="19"/>
  <c r="L41" i="31" s="1"/>
  <c r="G73" i="19"/>
  <c r="O73" i="19"/>
  <c r="D74" i="19"/>
  <c r="K41" i="31" s="1"/>
  <c r="F73" i="19"/>
  <c r="N73" i="19"/>
  <c r="N73" i="18"/>
  <c r="F73" i="18"/>
  <c r="D74" i="18"/>
  <c r="AE41" i="31" s="1"/>
  <c r="D75" i="17"/>
  <c r="AO42" i="31" s="1"/>
  <c r="N74" i="17"/>
  <c r="F74" i="17"/>
  <c r="G74" i="17"/>
  <c r="E75" i="17"/>
  <c r="AP42" i="31" s="1"/>
  <c r="O74" i="17"/>
  <c r="EQ35" i="31" l="1"/>
  <c r="B35" i="31"/>
  <c r="Y83" i="31"/>
  <c r="AD82" i="31"/>
  <c r="AL37" i="39"/>
  <c r="C69" i="18"/>
  <c r="T37" i="31"/>
  <c r="T85" i="31" s="1"/>
  <c r="H70" i="34"/>
  <c r="AD35" i="31"/>
  <c r="C68" i="17"/>
  <c r="J83" i="31"/>
  <c r="C71" i="34"/>
  <c r="AN34" i="31"/>
  <c r="AU36" i="39"/>
  <c r="AJ36" i="39" s="1"/>
  <c r="Y36" i="31"/>
  <c r="C70" i="19"/>
  <c r="AR39" i="39"/>
  <c r="AG39" i="39" s="1"/>
  <c r="AS3" i="31"/>
  <c r="AN5" i="31"/>
  <c r="AS38" i="39"/>
  <c r="AH38" i="39" s="1"/>
  <c r="AT37" i="39"/>
  <c r="AI37" i="39" s="1"/>
  <c r="J36" i="31"/>
  <c r="C63" i="40"/>
  <c r="AB39" i="39"/>
  <c r="AN81" i="31"/>
  <c r="D8" i="44"/>
  <c r="H13" i="44"/>
  <c r="AG87" i="31"/>
  <c r="M87" i="31"/>
  <c r="K89" i="31"/>
  <c r="AR88" i="31"/>
  <c r="L89" i="31"/>
  <c r="DN35" i="31"/>
  <c r="I87" i="31"/>
  <c r="DL33" i="31"/>
  <c r="DS33" i="31" s="1"/>
  <c r="DZ33" i="31" s="1"/>
  <c r="EG33" i="31" s="1"/>
  <c r="AF88" i="31"/>
  <c r="DO34" i="31"/>
  <c r="AP90" i="31"/>
  <c r="DP36" i="31"/>
  <c r="N87" i="31"/>
  <c r="AE89" i="31"/>
  <c r="AH87" i="31"/>
  <c r="AO90" i="31"/>
  <c r="AX86" i="31"/>
  <c r="AX39" i="31"/>
  <c r="M72" i="33"/>
  <c r="C73" i="33"/>
  <c r="H72" i="33"/>
  <c r="I40" i="31"/>
  <c r="EP40" i="31" s="1"/>
  <c r="BC85" i="31"/>
  <c r="AQ88" i="31"/>
  <c r="K71" i="33"/>
  <c r="BC38" i="31"/>
  <c r="F38" i="31" s="1"/>
  <c r="M40" i="31"/>
  <c r="N40" i="31"/>
  <c r="AQ41" i="31"/>
  <c r="AR41" i="31"/>
  <c r="AG40" i="31"/>
  <c r="AH40" i="31"/>
  <c r="AF41" i="31"/>
  <c r="E75" i="18"/>
  <c r="O74" i="18"/>
  <c r="G74" i="18"/>
  <c r="N74" i="19"/>
  <c r="F74" i="19"/>
  <c r="D75" i="19"/>
  <c r="K42" i="31" s="1"/>
  <c r="O74" i="19"/>
  <c r="G74" i="19"/>
  <c r="E75" i="19"/>
  <c r="L42" i="31" s="1"/>
  <c r="N74" i="18"/>
  <c r="F74" i="18"/>
  <c r="D75" i="18"/>
  <c r="AE42" i="31" s="1"/>
  <c r="D76" i="17"/>
  <c r="AO43" i="31" s="1"/>
  <c r="N75" i="17"/>
  <c r="F75" i="17"/>
  <c r="G75" i="17"/>
  <c r="O75" i="17"/>
  <c r="E76" i="17"/>
  <c r="AP43" i="31" s="1"/>
  <c r="EQ36" i="31" l="1"/>
  <c r="B36" i="31"/>
  <c r="AD83" i="31"/>
  <c r="I13" i="44"/>
  <c r="Y84" i="31"/>
  <c r="AN82" i="31"/>
  <c r="Y37" i="31"/>
  <c r="AS39" i="39"/>
  <c r="AH39" i="39" s="1"/>
  <c r="J84" i="31"/>
  <c r="AN35" i="31"/>
  <c r="C72" i="34"/>
  <c r="C71" i="19"/>
  <c r="AF39" i="39"/>
  <c r="AR40" i="39"/>
  <c r="AG40" i="39" s="1"/>
  <c r="C69" i="17"/>
  <c r="H71" i="34"/>
  <c r="T38" i="31"/>
  <c r="T86" i="31" s="1"/>
  <c r="J37" i="31"/>
  <c r="C64" i="40"/>
  <c r="AB40" i="39"/>
  <c r="AF40" i="39" s="1"/>
  <c r="AL40" i="39" s="1"/>
  <c r="C70" i="18"/>
  <c r="AU37" i="39"/>
  <c r="AJ37" i="39" s="1"/>
  <c r="AD36" i="31"/>
  <c r="AD84" i="31" s="1"/>
  <c r="AT38" i="39"/>
  <c r="AI38" i="39" s="1"/>
  <c r="AG88" i="31"/>
  <c r="N88" i="31"/>
  <c r="K90" i="31"/>
  <c r="M88" i="31"/>
  <c r="AR89" i="31"/>
  <c r="AH88" i="31"/>
  <c r="AE90" i="31"/>
  <c r="AF89" i="31"/>
  <c r="DO35" i="31"/>
  <c r="L90" i="31"/>
  <c r="DN36" i="31"/>
  <c r="AO91" i="31"/>
  <c r="I88" i="31"/>
  <c r="DL34" i="31"/>
  <c r="DS34" i="31" s="1"/>
  <c r="DZ34" i="31" s="1"/>
  <c r="EG34" i="31" s="1"/>
  <c r="AP91" i="31"/>
  <c r="DP37" i="31"/>
  <c r="AX87" i="31"/>
  <c r="BC86" i="31"/>
  <c r="I41" i="31"/>
  <c r="EP41" i="31" s="1"/>
  <c r="AQ89" i="31"/>
  <c r="BC39" i="31"/>
  <c r="F39" i="31" s="1"/>
  <c r="K72" i="33"/>
  <c r="C74" i="33"/>
  <c r="M73" i="33"/>
  <c r="AX40" i="31"/>
  <c r="H73" i="33"/>
  <c r="M41" i="31"/>
  <c r="N41" i="31"/>
  <c r="AQ42" i="31"/>
  <c r="AR42" i="31"/>
  <c r="AG41" i="31"/>
  <c r="AF42" i="31"/>
  <c r="G75" i="18"/>
  <c r="O75" i="18"/>
  <c r="E76" i="18"/>
  <c r="AH41" i="31"/>
  <c r="O75" i="19"/>
  <c r="G75" i="19"/>
  <c r="E76" i="19"/>
  <c r="L43" i="31" s="1"/>
  <c r="F75" i="19"/>
  <c r="D76" i="19"/>
  <c r="K43" i="31" s="1"/>
  <c r="N75" i="19"/>
  <c r="D76" i="18"/>
  <c r="AE43" i="31" s="1"/>
  <c r="N75" i="18"/>
  <c r="F75" i="18"/>
  <c r="O76" i="17"/>
  <c r="E77" i="17"/>
  <c r="AP44" i="31" s="1"/>
  <c r="G76" i="17"/>
  <c r="N76" i="17"/>
  <c r="F76" i="17"/>
  <c r="D77" i="17"/>
  <c r="AO44" i="31" s="1"/>
  <c r="EQ37" i="31" l="1"/>
  <c r="B37" i="31"/>
  <c r="Y85" i="31"/>
  <c r="AG89" i="31"/>
  <c r="AL39" i="39"/>
  <c r="AN83" i="31"/>
  <c r="C73" i="34"/>
  <c r="AT39" i="39"/>
  <c r="AI39" i="39" s="1"/>
  <c r="AD37" i="31"/>
  <c r="AD85" i="31" s="1"/>
  <c r="C71" i="18"/>
  <c r="AR41" i="39"/>
  <c r="AG41" i="39" s="1"/>
  <c r="Y38" i="31"/>
  <c r="C65" i="40"/>
  <c r="AB41" i="39"/>
  <c r="AF41" i="39" s="1"/>
  <c r="AL41" i="39" s="1"/>
  <c r="J38" i="31"/>
  <c r="C70" i="17"/>
  <c r="J85" i="31"/>
  <c r="AN36" i="31"/>
  <c r="C72" i="19"/>
  <c r="AU38" i="39"/>
  <c r="AJ38" i="39" s="1"/>
  <c r="H72" i="34"/>
  <c r="T39" i="31"/>
  <c r="T87" i="31" s="1"/>
  <c r="AS40" i="39"/>
  <c r="AH40" i="39" s="1"/>
  <c r="AR90" i="31"/>
  <c r="N89" i="31"/>
  <c r="K91" i="31"/>
  <c r="M89" i="31"/>
  <c r="AH89" i="31"/>
  <c r="AE91" i="31"/>
  <c r="AO92" i="31"/>
  <c r="AF90" i="31"/>
  <c r="DO36" i="31"/>
  <c r="I89" i="31"/>
  <c r="DL35" i="31"/>
  <c r="DS35" i="31" s="1"/>
  <c r="DZ35" i="31" s="1"/>
  <c r="EG35" i="31" s="1"/>
  <c r="AP92" i="31"/>
  <c r="DP38" i="31"/>
  <c r="L91" i="31"/>
  <c r="DN37" i="31"/>
  <c r="AX88" i="31"/>
  <c r="AQ90" i="31"/>
  <c r="AX41" i="31"/>
  <c r="M74" i="33"/>
  <c r="C75" i="33"/>
  <c r="H74" i="33"/>
  <c r="I42" i="31"/>
  <c r="EP42" i="31" s="1"/>
  <c r="K73" i="33"/>
  <c r="BC40" i="31"/>
  <c r="F40" i="31" s="1"/>
  <c r="BC87" i="31"/>
  <c r="N42" i="31"/>
  <c r="M42" i="31"/>
  <c r="AQ43" i="31"/>
  <c r="AR43" i="31"/>
  <c r="AF43" i="31"/>
  <c r="O76" i="18"/>
  <c r="G76" i="18"/>
  <c r="E77" i="18"/>
  <c r="AG42" i="31"/>
  <c r="AH42" i="31"/>
  <c r="E77" i="19"/>
  <c r="L44" i="31" s="1"/>
  <c r="O76" i="19"/>
  <c r="G76" i="19"/>
  <c r="D77" i="19"/>
  <c r="K44" i="31" s="1"/>
  <c r="F76" i="19"/>
  <c r="N76" i="19"/>
  <c r="D77" i="18"/>
  <c r="AE44" i="31" s="1"/>
  <c r="N76" i="18"/>
  <c r="F76" i="18"/>
  <c r="D78" i="17"/>
  <c r="AO45" i="31" s="1"/>
  <c r="F77" i="17"/>
  <c r="N77" i="17"/>
  <c r="G77" i="17"/>
  <c r="E78" i="17"/>
  <c r="AP45" i="31" s="1"/>
  <c r="O77" i="17"/>
  <c r="EQ38" i="31" l="1"/>
  <c r="B38" i="31"/>
  <c r="AN84" i="31"/>
  <c r="Y86" i="31"/>
  <c r="AG90" i="31"/>
  <c r="Y39" i="31"/>
  <c r="B39" i="31" s="1"/>
  <c r="AN37" i="31"/>
  <c r="C74" i="34"/>
  <c r="AR42" i="39"/>
  <c r="AG42" i="39" s="1"/>
  <c r="C72" i="18"/>
  <c r="J39" i="31"/>
  <c r="AD38" i="31"/>
  <c r="AD86" i="31" s="1"/>
  <c r="AT40" i="39"/>
  <c r="AI40" i="39" s="1"/>
  <c r="C73" i="19"/>
  <c r="AS41" i="39"/>
  <c r="AH41" i="39" s="1"/>
  <c r="C71" i="17"/>
  <c r="J86" i="31"/>
  <c r="C66" i="40"/>
  <c r="AB42" i="39"/>
  <c r="AF42" i="39" s="1"/>
  <c r="AL42" i="39" s="1"/>
  <c r="T40" i="31"/>
  <c r="T88" i="31" s="1"/>
  <c r="H73" i="34"/>
  <c r="AU39" i="39"/>
  <c r="AJ39" i="39" s="1"/>
  <c r="AR91" i="31"/>
  <c r="AH90" i="31"/>
  <c r="K92" i="31"/>
  <c r="N90" i="31"/>
  <c r="M90" i="31"/>
  <c r="AE92" i="31"/>
  <c r="AO93" i="31"/>
  <c r="AQ91" i="31"/>
  <c r="AX89" i="31"/>
  <c r="AP93" i="31"/>
  <c r="DP39" i="31"/>
  <c r="L92" i="31"/>
  <c r="DN38" i="31"/>
  <c r="AF91" i="31"/>
  <c r="DO37" i="31"/>
  <c r="I90" i="31"/>
  <c r="DL36" i="31"/>
  <c r="DS36" i="31" s="1"/>
  <c r="DZ36" i="31" s="1"/>
  <c r="EG36" i="31" s="1"/>
  <c r="BC88" i="31"/>
  <c r="M75" i="33"/>
  <c r="C76" i="33"/>
  <c r="AX42" i="31"/>
  <c r="H75" i="33"/>
  <c r="I43" i="31"/>
  <c r="EP43" i="31" s="1"/>
  <c r="K74" i="33"/>
  <c r="BC41" i="31"/>
  <c r="F41" i="31" s="1"/>
  <c r="N43" i="31"/>
  <c r="M43" i="31"/>
  <c r="AR44" i="31"/>
  <c r="AQ44" i="31"/>
  <c r="AF44" i="31"/>
  <c r="O77" i="18"/>
  <c r="G77" i="18"/>
  <c r="E78" i="18"/>
  <c r="AH43" i="31"/>
  <c r="AG43" i="31"/>
  <c r="F77" i="19"/>
  <c r="D78" i="19"/>
  <c r="K45" i="31" s="1"/>
  <c r="N77" i="19"/>
  <c r="E78" i="19"/>
  <c r="L45" i="31" s="1"/>
  <c r="O77" i="19"/>
  <c r="G77" i="19"/>
  <c r="N77" i="18"/>
  <c r="F77" i="18"/>
  <c r="D78" i="18"/>
  <c r="AE45" i="31" s="1"/>
  <c r="D79" i="17"/>
  <c r="AO46" i="31" s="1"/>
  <c r="N78" i="17"/>
  <c r="F78" i="17"/>
  <c r="E79" i="17"/>
  <c r="AP46" i="31" s="1"/>
  <c r="O78" i="17"/>
  <c r="G78" i="17"/>
  <c r="AG91" i="31" l="1"/>
  <c r="AE93" i="31"/>
  <c r="AN85" i="31"/>
  <c r="AR92" i="31"/>
  <c r="AH91" i="31"/>
  <c r="Y87" i="31"/>
  <c r="EQ39" i="31"/>
  <c r="C74" i="19"/>
  <c r="C75" i="34"/>
  <c r="C72" i="17"/>
  <c r="AR43" i="39"/>
  <c r="AG43" i="39" s="1"/>
  <c r="AS42" i="39"/>
  <c r="AH42" i="39" s="1"/>
  <c r="AU40" i="39"/>
  <c r="AJ40" i="39" s="1"/>
  <c r="C67" i="40"/>
  <c r="AB43" i="39"/>
  <c r="AF43" i="39" s="1"/>
  <c r="AL43" i="39" s="1"/>
  <c r="J40" i="31"/>
  <c r="Y40" i="31"/>
  <c r="B40" i="31" s="1"/>
  <c r="J87" i="31"/>
  <c r="AX90" i="31"/>
  <c r="AN38" i="31"/>
  <c r="AN86" i="31" s="1"/>
  <c r="C73" i="18"/>
  <c r="AT41" i="39"/>
  <c r="AI41" i="39" s="1"/>
  <c r="AD39" i="31"/>
  <c r="AD87" i="31" s="1"/>
  <c r="H74" i="34"/>
  <c r="T41" i="31"/>
  <c r="T89" i="31" s="1"/>
  <c r="N91" i="31"/>
  <c r="K93" i="31"/>
  <c r="M91" i="31"/>
  <c r="AQ92" i="31"/>
  <c r="AO94" i="31"/>
  <c r="L93" i="31"/>
  <c r="DN39" i="31"/>
  <c r="I91" i="31"/>
  <c r="DL37" i="31"/>
  <c r="DS37" i="31" s="1"/>
  <c r="DZ37" i="31" s="1"/>
  <c r="EG37" i="31" s="1"/>
  <c r="AF92" i="31"/>
  <c r="DO38" i="31"/>
  <c r="AP94" i="31"/>
  <c r="DP40" i="31"/>
  <c r="BC89" i="31"/>
  <c r="M76" i="33"/>
  <c r="C77" i="33"/>
  <c r="AX43" i="31"/>
  <c r="H76" i="33"/>
  <c r="I44" i="31"/>
  <c r="EP44" i="31" s="1"/>
  <c r="BC42" i="31"/>
  <c r="F42" i="31" s="1"/>
  <c r="K75" i="33"/>
  <c r="M44" i="31"/>
  <c r="N44" i="31"/>
  <c r="AR45" i="31"/>
  <c r="AQ45" i="31"/>
  <c r="AF45" i="31"/>
  <c r="E79" i="18"/>
  <c r="O78" i="18"/>
  <c r="G78" i="18"/>
  <c r="AH44" i="31"/>
  <c r="AG44" i="31"/>
  <c r="AG92" i="31" s="1"/>
  <c r="O78" i="19"/>
  <c r="G78" i="19"/>
  <c r="E79" i="19"/>
  <c r="L46" i="31" s="1"/>
  <c r="N78" i="19"/>
  <c r="F78" i="19"/>
  <c r="D79" i="19"/>
  <c r="K46" i="31" s="1"/>
  <c r="N78" i="18"/>
  <c r="F78" i="18"/>
  <c r="D79" i="18"/>
  <c r="AE46" i="31" s="1"/>
  <c r="AE94" i="31" s="1"/>
  <c r="F79" i="17"/>
  <c r="D80" i="17"/>
  <c r="AO47" i="31" s="1"/>
  <c r="N79" i="17"/>
  <c r="O79" i="17"/>
  <c r="G79" i="17"/>
  <c r="E80" i="17"/>
  <c r="AP47" i="31" s="1"/>
  <c r="DP41" i="31" s="1"/>
  <c r="AR93" i="31" l="1"/>
  <c r="AH92" i="31"/>
  <c r="Y88" i="31"/>
  <c r="EQ40" i="31"/>
  <c r="AX91" i="31"/>
  <c r="AD40" i="31"/>
  <c r="AD88" i="31" s="1"/>
  <c r="C76" i="34"/>
  <c r="AR44" i="39"/>
  <c r="AG44" i="39" s="1"/>
  <c r="C68" i="40"/>
  <c r="AB44" i="39"/>
  <c r="AF44" i="39" s="1"/>
  <c r="AL44" i="39" s="1"/>
  <c r="AN39" i="31"/>
  <c r="AN87" i="31" s="1"/>
  <c r="C73" i="17"/>
  <c r="H75" i="34"/>
  <c r="T42" i="31"/>
  <c r="T90" i="31" s="1"/>
  <c r="C74" i="18"/>
  <c r="J88" i="31"/>
  <c r="AU41" i="39"/>
  <c r="AJ41" i="39" s="1"/>
  <c r="AT42" i="39"/>
  <c r="AI42" i="39" s="1"/>
  <c r="C75" i="19"/>
  <c r="J41" i="31"/>
  <c r="Y41" i="31"/>
  <c r="B41" i="31" s="1"/>
  <c r="AS43" i="39"/>
  <c r="AH43" i="39" s="1"/>
  <c r="N92" i="31"/>
  <c r="K94" i="31"/>
  <c r="M92" i="31"/>
  <c r="BC90" i="31"/>
  <c r="AQ93" i="31"/>
  <c r="DP7" i="31"/>
  <c r="AF93" i="31"/>
  <c r="DO39" i="31"/>
  <c r="L94" i="31"/>
  <c r="DN40" i="31"/>
  <c r="I92" i="31"/>
  <c r="DL38" i="31"/>
  <c r="DS38" i="31" s="1"/>
  <c r="DZ38" i="31" s="1"/>
  <c r="EG38" i="31" s="1"/>
  <c r="C78" i="33"/>
  <c r="AX44" i="31"/>
  <c r="M77" i="33"/>
  <c r="H77" i="33"/>
  <c r="K76" i="33"/>
  <c r="BC43" i="31"/>
  <c r="F43" i="31" s="1"/>
  <c r="I45" i="31"/>
  <c r="EP45" i="31" s="1"/>
  <c r="N45" i="31"/>
  <c r="M45" i="31"/>
  <c r="AP3" i="31"/>
  <c r="AP12" i="31"/>
  <c r="AP11" i="31"/>
  <c r="AR46" i="31"/>
  <c r="AR94" i="31" s="1"/>
  <c r="AP95" i="31"/>
  <c r="AQ46" i="31"/>
  <c r="AO3" i="31"/>
  <c r="AO12" i="31"/>
  <c r="AO11" i="31"/>
  <c r="AO95" i="31"/>
  <c r="AF46" i="31"/>
  <c r="E80" i="18"/>
  <c r="G79" i="18"/>
  <c r="O79" i="18"/>
  <c r="AG45" i="31"/>
  <c r="AG93" i="31" s="1"/>
  <c r="AH45" i="31"/>
  <c r="O79" i="19"/>
  <c r="G79" i="19"/>
  <c r="E80" i="19"/>
  <c r="L47" i="31" s="1"/>
  <c r="N79" i="19"/>
  <c r="D80" i="19"/>
  <c r="K47" i="31" s="1"/>
  <c r="F79" i="19"/>
  <c r="D80" i="18"/>
  <c r="AE47" i="31" s="1"/>
  <c r="N79" i="18"/>
  <c r="F79" i="18"/>
  <c r="D81" i="17"/>
  <c r="AO48" i="31" s="1"/>
  <c r="N80" i="17"/>
  <c r="Q80" i="17" s="1"/>
  <c r="F80" i="17"/>
  <c r="O80" i="17"/>
  <c r="R80" i="17" s="1"/>
  <c r="E81" i="17"/>
  <c r="AP48" i="31" s="1"/>
  <c r="DP42" i="31" s="1"/>
  <c r="G80" i="17"/>
  <c r="G81" i="17" s="1"/>
  <c r="AH93" i="31" l="1"/>
  <c r="AX92" i="31"/>
  <c r="Y89" i="31"/>
  <c r="EQ41" i="31"/>
  <c r="AT43" i="39"/>
  <c r="AI43" i="39" s="1"/>
  <c r="Y42" i="31"/>
  <c r="B42" i="31" s="1"/>
  <c r="C69" i="40"/>
  <c r="AB46" i="39" s="1"/>
  <c r="AB45" i="39"/>
  <c r="AF45" i="39" s="1"/>
  <c r="AL45" i="39" s="1"/>
  <c r="AR45" i="39"/>
  <c r="AG45" i="39" s="1"/>
  <c r="C77" i="34"/>
  <c r="C74" i="17"/>
  <c r="T43" i="31"/>
  <c r="T91" i="31" s="1"/>
  <c r="H76" i="34"/>
  <c r="J89" i="31"/>
  <c r="AN40" i="31"/>
  <c r="AN88" i="31" s="1"/>
  <c r="C76" i="19"/>
  <c r="AU42" i="39"/>
  <c r="AJ42" i="39" s="1"/>
  <c r="AS44" i="39"/>
  <c r="AH44" i="39" s="1"/>
  <c r="J42" i="31"/>
  <c r="AD41" i="31"/>
  <c r="AD89" i="31" s="1"/>
  <c r="C75" i="18"/>
  <c r="G82" i="17"/>
  <c r="AR48" i="31"/>
  <c r="K95" i="31"/>
  <c r="M93" i="31"/>
  <c r="N93" i="31"/>
  <c r="BC91" i="31"/>
  <c r="AQ94" i="31"/>
  <c r="L95" i="31"/>
  <c r="DN41" i="31"/>
  <c r="DN7" i="31" s="1"/>
  <c r="AF94" i="31"/>
  <c r="DO40" i="31"/>
  <c r="I93" i="31"/>
  <c r="DL39" i="31"/>
  <c r="DS39" i="31" s="1"/>
  <c r="DZ39" i="31" s="1"/>
  <c r="EG39" i="31" s="1"/>
  <c r="M78" i="33"/>
  <c r="C79" i="33"/>
  <c r="AX45" i="31"/>
  <c r="H78" i="33"/>
  <c r="BC44" i="31"/>
  <c r="F44" i="31" s="1"/>
  <c r="K77" i="33"/>
  <c r="I46" i="31"/>
  <c r="EP46" i="31" s="1"/>
  <c r="L12" i="31"/>
  <c r="L11" i="31"/>
  <c r="N46" i="31"/>
  <c r="K12" i="31"/>
  <c r="K11" i="31"/>
  <c r="M46" i="31"/>
  <c r="A83" i="17"/>
  <c r="A80" i="17" s="1"/>
  <c r="A79" i="17" s="1"/>
  <c r="U61" i="17" s="1"/>
  <c r="AR47" i="31"/>
  <c r="AR95" i="31" s="1"/>
  <c r="CF39" i="31" s="1"/>
  <c r="AQ47" i="31"/>
  <c r="AE3" i="31"/>
  <c r="AE12" i="31"/>
  <c r="AE11" i="31"/>
  <c r="AH46" i="31"/>
  <c r="AH94" i="31" s="1"/>
  <c r="AF47" i="31"/>
  <c r="DO41" i="31" s="1"/>
  <c r="G80" i="18"/>
  <c r="G81" i="18" s="1"/>
  <c r="E81" i="18"/>
  <c r="AF48" i="31" s="1"/>
  <c r="DO42" i="31" s="1"/>
  <c r="O80" i="18"/>
  <c r="R80" i="18" s="1"/>
  <c r="AG46" i="31"/>
  <c r="AG94" i="31" s="1"/>
  <c r="AE95" i="31"/>
  <c r="E81" i="19"/>
  <c r="L48" i="31" s="1"/>
  <c r="DN42" i="31" s="1"/>
  <c r="G80" i="19"/>
  <c r="G81" i="19" s="1"/>
  <c r="O80" i="19"/>
  <c r="R80" i="19" s="1"/>
  <c r="N80" i="19"/>
  <c r="Q80" i="19" s="1"/>
  <c r="F80" i="19"/>
  <c r="D81" i="19"/>
  <c r="K48" i="31" s="1"/>
  <c r="D81" i="18"/>
  <c r="AE48" i="31" s="1"/>
  <c r="N80" i="18"/>
  <c r="Q80" i="18" s="1"/>
  <c r="F80" i="18"/>
  <c r="D82" i="17"/>
  <c r="AO49" i="31" s="1"/>
  <c r="N81" i="17"/>
  <c r="F81" i="17"/>
  <c r="AQ48" i="31" s="1"/>
  <c r="O81" i="17"/>
  <c r="E82" i="17"/>
  <c r="AP49" i="31" s="1"/>
  <c r="DP43" i="31" s="1"/>
  <c r="AX93" i="31" l="1"/>
  <c r="Y90" i="31"/>
  <c r="EQ42" i="31"/>
  <c r="AN41" i="31"/>
  <c r="AN89" i="31" s="1"/>
  <c r="AF46" i="39"/>
  <c r="AB7" i="39"/>
  <c r="AB8" i="39" s="1"/>
  <c r="T44" i="31"/>
  <c r="T92" i="31" s="1"/>
  <c r="H77" i="34"/>
  <c r="J90" i="31"/>
  <c r="AD42" i="31"/>
  <c r="AD90" i="31" s="1"/>
  <c r="C77" i="19"/>
  <c r="AR46" i="39"/>
  <c r="AG46" i="39" s="1"/>
  <c r="Y43" i="31"/>
  <c r="B43" i="31" s="1"/>
  <c r="AS45" i="39"/>
  <c r="AH45" i="39" s="1"/>
  <c r="C76" i="18"/>
  <c r="AU43" i="39"/>
  <c r="AJ43" i="39" s="1"/>
  <c r="J43" i="31"/>
  <c r="C75" i="17"/>
  <c r="C78" i="34"/>
  <c r="AT44" i="39"/>
  <c r="AI44" i="39" s="1"/>
  <c r="BC92" i="31"/>
  <c r="V61" i="17"/>
  <c r="U62" i="17"/>
  <c r="G83" i="17"/>
  <c r="AR49" i="31"/>
  <c r="N94" i="31"/>
  <c r="M94" i="31"/>
  <c r="G82" i="19"/>
  <c r="N48" i="31"/>
  <c r="G82" i="18"/>
  <c r="AH48" i="31"/>
  <c r="DO7" i="31"/>
  <c r="I94" i="31"/>
  <c r="DL40" i="31"/>
  <c r="DS40" i="31" s="1"/>
  <c r="DZ40" i="31" s="1"/>
  <c r="EG40" i="31" s="1"/>
  <c r="K78" i="33"/>
  <c r="BC45" i="31"/>
  <c r="F45" i="31" s="1"/>
  <c r="I48" i="31"/>
  <c r="DL42" i="31" s="1"/>
  <c r="DS42" i="31" s="1"/>
  <c r="DZ42" i="31" s="1"/>
  <c r="EG42" i="31" s="1"/>
  <c r="I47" i="31"/>
  <c r="EP47" i="31" s="1"/>
  <c r="C80" i="33"/>
  <c r="AX46" i="31"/>
  <c r="M79" i="33"/>
  <c r="H79" i="33"/>
  <c r="A83" i="19"/>
  <c r="A80" i="19" s="1"/>
  <c r="A79" i="19" s="1"/>
  <c r="U61" i="19" s="1"/>
  <c r="N47" i="31"/>
  <c r="M47" i="31"/>
  <c r="CF5" i="31"/>
  <c r="AR12" i="31"/>
  <c r="AR11" i="31"/>
  <c r="AQ12" i="31"/>
  <c r="AQ11" i="31"/>
  <c r="AQ95" i="31"/>
  <c r="CF38" i="31" s="1"/>
  <c r="AV28" i="31"/>
  <c r="AF3" i="31"/>
  <c r="AF12" i="31"/>
  <c r="AF11" i="31"/>
  <c r="AG47" i="31"/>
  <c r="A83" i="18"/>
  <c r="A80" i="18" s="1"/>
  <c r="A79" i="18" s="1"/>
  <c r="U61" i="18" s="1"/>
  <c r="AH47" i="31"/>
  <c r="AF95" i="31"/>
  <c r="E82" i="18"/>
  <c r="AF49" i="31" s="1"/>
  <c r="DO43" i="31" s="1"/>
  <c r="O81" i="18"/>
  <c r="H61" i="17"/>
  <c r="AS28" i="31" s="1"/>
  <c r="F81" i="19"/>
  <c r="M48" i="31" s="1"/>
  <c r="D82" i="19"/>
  <c r="K49" i="31" s="1"/>
  <c r="N81" i="19"/>
  <c r="O81" i="19"/>
  <c r="E82" i="19"/>
  <c r="L49" i="31" s="1"/>
  <c r="DN43" i="31" s="1"/>
  <c r="D82" i="18"/>
  <c r="AE49" i="31" s="1"/>
  <c r="N81" i="18"/>
  <c r="F81" i="18"/>
  <c r="AG48" i="31" s="1"/>
  <c r="D83" i="17"/>
  <c r="AO50" i="31" s="1"/>
  <c r="F82" i="17"/>
  <c r="AQ49" i="31" s="1"/>
  <c r="N82" i="17"/>
  <c r="E83" i="17"/>
  <c r="AP50" i="31" s="1"/>
  <c r="DP44" i="31" s="1"/>
  <c r="O82" i="17"/>
  <c r="ET28" i="31" l="1"/>
  <c r="E28" i="31"/>
  <c r="T32" i="29" s="1"/>
  <c r="AX94" i="31"/>
  <c r="Y91" i="31"/>
  <c r="EQ43" i="31"/>
  <c r="AL46" i="39"/>
  <c r="AF7" i="39"/>
  <c r="AF8" i="39" s="1"/>
  <c r="C78" i="19"/>
  <c r="C77" i="18"/>
  <c r="AS46" i="39"/>
  <c r="AH46" i="39" s="1"/>
  <c r="AR4" i="39"/>
  <c r="AR5" i="39" s="1"/>
  <c r="AT45" i="39"/>
  <c r="AI45" i="39" s="1"/>
  <c r="C76" i="17"/>
  <c r="J44" i="31"/>
  <c r="Y44" i="31"/>
  <c r="B44" i="31" s="1"/>
  <c r="T45" i="31"/>
  <c r="T93" i="31" s="1"/>
  <c r="H78" i="34"/>
  <c r="AU44" i="39"/>
  <c r="AJ44" i="39" s="1"/>
  <c r="J91" i="31"/>
  <c r="AN42" i="31"/>
  <c r="AN90" i="31" s="1"/>
  <c r="AD43" i="31"/>
  <c r="AD91" i="31" s="1"/>
  <c r="C79" i="34"/>
  <c r="BC93" i="31"/>
  <c r="G84" i="17"/>
  <c r="AR50" i="31"/>
  <c r="U63" i="17"/>
  <c r="U64" i="17" s="1"/>
  <c r="V62" i="17"/>
  <c r="G83" i="19"/>
  <c r="N49" i="31"/>
  <c r="N95" i="31"/>
  <c r="CD39" i="31" s="1"/>
  <c r="V61" i="19"/>
  <c r="U62" i="19"/>
  <c r="V61" i="18"/>
  <c r="U62" i="18"/>
  <c r="G83" i="18"/>
  <c r="AH49" i="31"/>
  <c r="AV76" i="31"/>
  <c r="DW22" i="31"/>
  <c r="ED22" i="31" s="1"/>
  <c r="I95" i="31"/>
  <c r="DL41" i="31"/>
  <c r="DS41" i="31" s="1"/>
  <c r="DZ41" i="31" s="1"/>
  <c r="EG41" i="31" s="1"/>
  <c r="K79" i="33"/>
  <c r="BC46" i="31"/>
  <c r="F46" i="31" s="1"/>
  <c r="I49" i="31"/>
  <c r="DL43" i="31" s="1"/>
  <c r="DS43" i="31" s="1"/>
  <c r="DZ43" i="31" s="1"/>
  <c r="EG43" i="31" s="1"/>
  <c r="M80" i="33"/>
  <c r="P80" i="33" s="1"/>
  <c r="AX47" i="31"/>
  <c r="H80" i="33"/>
  <c r="H61" i="19"/>
  <c r="O28" i="31" s="1"/>
  <c r="N3" i="31"/>
  <c r="N12" i="31"/>
  <c r="N11" i="31"/>
  <c r="R28" i="31"/>
  <c r="M3" i="31"/>
  <c r="M12" i="31"/>
  <c r="M11" i="31"/>
  <c r="M95" i="31"/>
  <c r="CD38" i="31" s="1"/>
  <c r="AL28" i="31"/>
  <c r="AV29" i="31"/>
  <c r="AH12" i="31"/>
  <c r="AH11" i="31"/>
  <c r="E83" i="18"/>
  <c r="AF50" i="31" s="1"/>
  <c r="DO44" i="31" s="1"/>
  <c r="O82" i="18"/>
  <c r="CE5" i="31"/>
  <c r="AG12" i="31"/>
  <c r="AG11" i="31"/>
  <c r="AH95" i="31"/>
  <c r="CE39" i="31" s="1"/>
  <c r="AG95" i="31"/>
  <c r="CE38" i="31" s="1"/>
  <c r="AS76" i="31"/>
  <c r="H62" i="17"/>
  <c r="AS29" i="31" s="1"/>
  <c r="H61" i="18"/>
  <c r="AI28" i="31" s="1"/>
  <c r="D28" i="31" s="1"/>
  <c r="S32" i="29" s="1"/>
  <c r="O82" i="19"/>
  <c r="E83" i="19"/>
  <c r="L50" i="31" s="1"/>
  <c r="DN44" i="31" s="1"/>
  <c r="F82" i="19"/>
  <c r="M49" i="31" s="1"/>
  <c r="D83" i="19"/>
  <c r="K50" i="31" s="1"/>
  <c r="N82" i="19"/>
  <c r="H81" i="19"/>
  <c r="F82" i="18"/>
  <c r="AG49" i="31" s="1"/>
  <c r="D83" i="18"/>
  <c r="AE50" i="31" s="1"/>
  <c r="N82" i="18"/>
  <c r="O83" i="17"/>
  <c r="E84" i="17"/>
  <c r="AP51" i="31" s="1"/>
  <c r="DP45" i="31" s="1"/>
  <c r="N83" i="17"/>
  <c r="F83" i="17"/>
  <c r="AQ50" i="31" s="1"/>
  <c r="D84" i="17"/>
  <c r="AO51" i="31" s="1"/>
  <c r="ER28" i="31" l="1"/>
  <c r="C28" i="31"/>
  <c r="ET29" i="31"/>
  <c r="E29" i="31"/>
  <c r="T33" i="29" s="1"/>
  <c r="Y92" i="31"/>
  <c r="EQ44" i="31"/>
  <c r="AI76" i="31"/>
  <c r="ES28" i="31"/>
  <c r="EV28" i="31" s="1"/>
  <c r="J92" i="31"/>
  <c r="C80" i="34"/>
  <c r="AG7" i="39"/>
  <c r="AG8" i="39" s="1"/>
  <c r="Y45" i="31"/>
  <c r="B45" i="31" s="1"/>
  <c r="AN43" i="31"/>
  <c r="AN91" i="31" s="1"/>
  <c r="C79" i="19"/>
  <c r="H79" i="34"/>
  <c r="T46" i="31"/>
  <c r="T94" i="31" s="1"/>
  <c r="AS4" i="39"/>
  <c r="AS5" i="39" s="1"/>
  <c r="C77" i="17"/>
  <c r="C78" i="18"/>
  <c r="AD44" i="31"/>
  <c r="AD92" i="31" s="1"/>
  <c r="J45" i="31"/>
  <c r="AU45" i="39"/>
  <c r="AJ45" i="39" s="1"/>
  <c r="AT46" i="39"/>
  <c r="AI46" i="39" s="1"/>
  <c r="H62" i="19"/>
  <c r="O29" i="31" s="1"/>
  <c r="C29" i="31" s="1"/>
  <c r="R33" i="29" s="1"/>
  <c r="BC94" i="31"/>
  <c r="R29" i="31"/>
  <c r="V63" i="17"/>
  <c r="V64" i="17" s="1"/>
  <c r="U65" i="17"/>
  <c r="G85" i="17"/>
  <c r="AR51" i="31"/>
  <c r="N50" i="31"/>
  <c r="G84" i="19"/>
  <c r="V62" i="19"/>
  <c r="U63" i="19"/>
  <c r="U63" i="18"/>
  <c r="U64" i="18" s="1"/>
  <c r="V62" i="18"/>
  <c r="G84" i="18"/>
  <c r="AH50" i="31"/>
  <c r="O76" i="31"/>
  <c r="EK22" i="31"/>
  <c r="O48" i="31"/>
  <c r="C48" i="31" s="1"/>
  <c r="AV77" i="31"/>
  <c r="DW23" i="31"/>
  <c r="ED23" i="31" s="1"/>
  <c r="AL76" i="31"/>
  <c r="DV22" i="31"/>
  <c r="EC22" i="31" s="1"/>
  <c r="R76" i="31"/>
  <c r="DU22" i="31"/>
  <c r="EB22" i="31" s="1"/>
  <c r="BC47" i="31"/>
  <c r="F47" i="31" s="1"/>
  <c r="K80" i="33"/>
  <c r="S80" i="33" s="1"/>
  <c r="I50" i="31"/>
  <c r="DL44" i="31" s="1"/>
  <c r="DS44" i="31" s="1"/>
  <c r="DZ44" i="31" s="1"/>
  <c r="EG44" i="31" s="1"/>
  <c r="AX3" i="31"/>
  <c r="AX95" i="31"/>
  <c r="AX12" i="31"/>
  <c r="AX11" i="31"/>
  <c r="G11" i="31"/>
  <c r="G12" i="31"/>
  <c r="AS77" i="31"/>
  <c r="AV30" i="31"/>
  <c r="AL29" i="31"/>
  <c r="E84" i="18"/>
  <c r="AF51" i="31" s="1"/>
  <c r="DO45" i="31" s="1"/>
  <c r="O83" i="18"/>
  <c r="H82" i="19"/>
  <c r="H63" i="17"/>
  <c r="AS30" i="31" s="1"/>
  <c r="H62" i="18"/>
  <c r="AI29" i="31" s="1"/>
  <c r="D29" i="31" s="1"/>
  <c r="S33" i="29" s="1"/>
  <c r="O83" i="19"/>
  <c r="E84" i="19"/>
  <c r="L51" i="31" s="1"/>
  <c r="DN45" i="31" s="1"/>
  <c r="D84" i="19"/>
  <c r="K51" i="31" s="1"/>
  <c r="F83" i="19"/>
  <c r="M50" i="31" s="1"/>
  <c r="N83" i="19"/>
  <c r="F83" i="18"/>
  <c r="AG50" i="31" s="1"/>
  <c r="N83" i="18"/>
  <c r="D84" i="18"/>
  <c r="AE51" i="31" s="1"/>
  <c r="E85" i="17"/>
  <c r="AP52" i="31" s="1"/>
  <c r="DP46" i="31" s="1"/>
  <c r="O84" i="17"/>
  <c r="N84" i="17"/>
  <c r="F84" i="17"/>
  <c r="AQ51" i="31" s="1"/>
  <c r="D85" i="17"/>
  <c r="AO52" i="31" s="1"/>
  <c r="G28" i="31" l="1"/>
  <c r="V32" i="29" s="1"/>
  <c r="X32" i="29" s="1"/>
  <c r="R32" i="29"/>
  <c r="ET30" i="31"/>
  <c r="E30" i="31"/>
  <c r="T34" i="29" s="1"/>
  <c r="G29" i="31"/>
  <c r="V33" i="29" s="1"/>
  <c r="X33" i="29" s="1"/>
  <c r="AI77" i="31"/>
  <c r="ES29" i="31"/>
  <c r="Y93" i="31"/>
  <c r="EQ45" i="31"/>
  <c r="ER29" i="31"/>
  <c r="O77" i="31"/>
  <c r="AT4" i="39"/>
  <c r="AT5" i="39" s="1"/>
  <c r="C78" i="17"/>
  <c r="AD45" i="31"/>
  <c r="AU46" i="39"/>
  <c r="AJ46" i="39" s="1"/>
  <c r="AN44" i="31"/>
  <c r="J93" i="31"/>
  <c r="H80" i="34"/>
  <c r="T47" i="31"/>
  <c r="C80" i="19"/>
  <c r="AH7" i="39"/>
  <c r="AH8" i="39" s="1"/>
  <c r="CG37" i="31"/>
  <c r="Y46" i="31"/>
  <c r="B46" i="31" s="1"/>
  <c r="J46" i="31"/>
  <c r="C79" i="18"/>
  <c r="H63" i="19"/>
  <c r="O30" i="31" s="1"/>
  <c r="C30" i="31" s="1"/>
  <c r="R34" i="29" s="1"/>
  <c r="V63" i="18"/>
  <c r="V64" i="18" s="1"/>
  <c r="R30" i="31"/>
  <c r="DU24" i="31" s="1"/>
  <c r="DU23" i="31"/>
  <c r="EB23" i="31" s="1"/>
  <c r="AR52" i="31"/>
  <c r="G86" i="17"/>
  <c r="U66" i="17"/>
  <c r="V65" i="17"/>
  <c r="V63" i="19"/>
  <c r="U64" i="19"/>
  <c r="R31" i="31" s="1"/>
  <c r="G85" i="19"/>
  <c r="N51" i="31"/>
  <c r="AH51" i="31"/>
  <c r="G85" i="18"/>
  <c r="U65" i="18"/>
  <c r="EI22" i="31"/>
  <c r="EJ22" i="31"/>
  <c r="EK23" i="31"/>
  <c r="O49" i="31"/>
  <c r="C49" i="31" s="1"/>
  <c r="R77" i="31"/>
  <c r="AV78" i="31"/>
  <c r="DW24" i="31"/>
  <c r="ED24" i="31" s="1"/>
  <c r="AL77" i="31"/>
  <c r="DV23" i="31"/>
  <c r="EC23" i="31" s="1"/>
  <c r="I51" i="31"/>
  <c r="DL45" i="31" s="1"/>
  <c r="DS45" i="31" s="1"/>
  <c r="DZ45" i="31" s="1"/>
  <c r="EG45" i="31" s="1"/>
  <c r="BC95" i="31"/>
  <c r="CG40" i="31" s="1"/>
  <c r="BC12" i="31"/>
  <c r="CG12" i="31" s="1"/>
  <c r="H10" i="44" s="1"/>
  <c r="BC11" i="31"/>
  <c r="CG11" i="31" s="1"/>
  <c r="H9" i="44" s="1"/>
  <c r="AS78" i="31"/>
  <c r="H83" i="19"/>
  <c r="AL30" i="31"/>
  <c r="AV31" i="31"/>
  <c r="O84" i="18"/>
  <c r="E85" i="18"/>
  <c r="AF52" i="31" s="1"/>
  <c r="DO46" i="31" s="1"/>
  <c r="H64" i="17"/>
  <c r="AS31" i="31" s="1"/>
  <c r="H63" i="18"/>
  <c r="AI30" i="31" s="1"/>
  <c r="D30" i="31" s="1"/>
  <c r="S34" i="29" s="1"/>
  <c r="N84" i="19"/>
  <c r="D85" i="19"/>
  <c r="K52" i="31" s="1"/>
  <c r="F84" i="19"/>
  <c r="M51" i="31" s="1"/>
  <c r="E85" i="19"/>
  <c r="L52" i="31" s="1"/>
  <c r="DN46" i="31" s="1"/>
  <c r="O84" i="19"/>
  <c r="F84" i="18"/>
  <c r="AG51" i="31" s="1"/>
  <c r="N84" i="18"/>
  <c r="D85" i="18"/>
  <c r="AE52" i="31" s="1"/>
  <c r="N85" i="17"/>
  <c r="D86" i="17"/>
  <c r="AO53" i="31" s="1"/>
  <c r="F85" i="17"/>
  <c r="AQ52" i="31" s="1"/>
  <c r="E86" i="17"/>
  <c r="AP53" i="31" s="1"/>
  <c r="DP47" i="31" s="1"/>
  <c r="O85" i="17"/>
  <c r="G30" i="31" l="1"/>
  <c r="V34" i="29" s="1"/>
  <c r="X34" i="29" s="1"/>
  <c r="EV29" i="31"/>
  <c r="ET31" i="31"/>
  <c r="E31" i="31"/>
  <c r="T35" i="29" s="1"/>
  <c r="Y94" i="31"/>
  <c r="EQ46" i="31"/>
  <c r="AI78" i="31"/>
  <c r="ES30" i="31"/>
  <c r="ER30" i="31"/>
  <c r="O78" i="31"/>
  <c r="AU4" i="39"/>
  <c r="AU5" i="39" s="1"/>
  <c r="Y47" i="31"/>
  <c r="AN92" i="31"/>
  <c r="AD93" i="31"/>
  <c r="J94" i="31"/>
  <c r="AD46" i="31"/>
  <c r="J47" i="31"/>
  <c r="J11" i="31" s="1"/>
  <c r="AN45" i="31"/>
  <c r="C80" i="18"/>
  <c r="AI7" i="39"/>
  <c r="AI8" i="39" s="1"/>
  <c r="T95" i="31"/>
  <c r="T12" i="31"/>
  <c r="T11" i="31"/>
  <c r="C79" i="17"/>
  <c r="H64" i="19"/>
  <c r="O31" i="31" s="1"/>
  <c r="C31" i="31" s="1"/>
  <c r="R35" i="29" s="1"/>
  <c r="V66" i="17"/>
  <c r="U67" i="17"/>
  <c r="AR53" i="31"/>
  <c r="G87" i="17"/>
  <c r="N52" i="31"/>
  <c r="G86" i="19"/>
  <c r="DU25" i="31"/>
  <c r="U65" i="19"/>
  <c r="V64" i="19"/>
  <c r="U66" i="18"/>
  <c r="V65" i="18"/>
  <c r="AH52" i="31"/>
  <c r="G86" i="18"/>
  <c r="EI23" i="31"/>
  <c r="EJ23" i="31"/>
  <c r="EK24" i="31"/>
  <c r="O50" i="31"/>
  <c r="C50" i="31" s="1"/>
  <c r="EB24" i="31"/>
  <c r="R78" i="31"/>
  <c r="AS79" i="31"/>
  <c r="AV79" i="31"/>
  <c r="DW25" i="31"/>
  <c r="ED25" i="31" s="1"/>
  <c r="AL78" i="31"/>
  <c r="DV24" i="31"/>
  <c r="EC24" i="31" s="1"/>
  <c r="I52" i="31"/>
  <c r="DL46" i="31" s="1"/>
  <c r="DS46" i="31" s="1"/>
  <c r="DZ46" i="31" s="1"/>
  <c r="EG46" i="31" s="1"/>
  <c r="AL31" i="31"/>
  <c r="AV32" i="31"/>
  <c r="O85" i="18"/>
  <c r="E86" i="18"/>
  <c r="AF53" i="31" s="1"/>
  <c r="DO47" i="31" s="1"/>
  <c r="H65" i="17"/>
  <c r="AS32" i="31" s="1"/>
  <c r="E32" i="31" s="1"/>
  <c r="T36" i="29" s="1"/>
  <c r="S13" i="29" s="1"/>
  <c r="H84" i="19"/>
  <c r="H64" i="18"/>
  <c r="AI31" i="31" s="1"/>
  <c r="D31" i="31" s="1"/>
  <c r="S35" i="29" s="1"/>
  <c r="N85" i="19"/>
  <c r="F85" i="19"/>
  <c r="M52" i="31" s="1"/>
  <c r="D86" i="19"/>
  <c r="K53" i="31" s="1"/>
  <c r="E86" i="19"/>
  <c r="L53" i="31" s="1"/>
  <c r="DN47" i="31" s="1"/>
  <c r="O85" i="19"/>
  <c r="D86" i="18"/>
  <c r="AE53" i="31" s="1"/>
  <c r="N85" i="18"/>
  <c r="F85" i="18"/>
  <c r="AG52" i="31" s="1"/>
  <c r="D87" i="17"/>
  <c r="AO54" i="31" s="1"/>
  <c r="N86" i="17"/>
  <c r="F86" i="17"/>
  <c r="AQ53" i="31" s="1"/>
  <c r="E87" i="17"/>
  <c r="AP54" i="31" s="1"/>
  <c r="DP48" i="31" s="1"/>
  <c r="O86" i="17"/>
  <c r="G31" i="31" l="1"/>
  <c r="V35" i="29" s="1"/>
  <c r="X35" i="29" s="1"/>
  <c r="EQ47" i="31"/>
  <c r="B47" i="31"/>
  <c r="AI79" i="31"/>
  <c r="ES31" i="31"/>
  <c r="ER31" i="31"/>
  <c r="EV30" i="31"/>
  <c r="AS10" i="31"/>
  <c r="AT3" i="31" s="1"/>
  <c r="ET32" i="31"/>
  <c r="AD94" i="31"/>
  <c r="CC37" i="31"/>
  <c r="J95" i="31"/>
  <c r="CD37" i="31" s="1"/>
  <c r="J12" i="31"/>
  <c r="C80" i="17"/>
  <c r="AJ7" i="39"/>
  <c r="AJ8" i="39" s="1"/>
  <c r="AD47" i="31"/>
  <c r="AN93" i="31"/>
  <c r="Y12" i="31"/>
  <c r="CC12" i="31" s="1"/>
  <c r="D10" i="44" s="1"/>
  <c r="Y95" i="31"/>
  <c r="CC40" i="31" s="1"/>
  <c r="Y11" i="31"/>
  <c r="CC11" i="31" s="1"/>
  <c r="D9" i="44" s="1"/>
  <c r="AN46" i="31"/>
  <c r="R32" i="31"/>
  <c r="H65" i="19"/>
  <c r="O32" i="31" s="1"/>
  <c r="C32" i="31" s="1"/>
  <c r="R36" i="29" s="1"/>
  <c r="S11" i="29" s="1"/>
  <c r="O79" i="31"/>
  <c r="EB25" i="31"/>
  <c r="EI25" i="31" s="1"/>
  <c r="AR54" i="31"/>
  <c r="G88" i="17"/>
  <c r="V67" i="17"/>
  <c r="U68" i="17"/>
  <c r="U66" i="19"/>
  <c r="V65" i="19"/>
  <c r="G87" i="19"/>
  <c r="N53" i="31"/>
  <c r="G87" i="18"/>
  <c r="AH53" i="31"/>
  <c r="U67" i="18"/>
  <c r="V66" i="18"/>
  <c r="R79" i="31"/>
  <c r="EK25" i="31"/>
  <c r="EI24" i="31"/>
  <c r="EJ24" i="31"/>
  <c r="O51" i="31"/>
  <c r="C51" i="31" s="1"/>
  <c r="AV10" i="31"/>
  <c r="AV5" i="31" s="1"/>
  <c r="DW26" i="31"/>
  <c r="ED26" i="31" s="1"/>
  <c r="AL79" i="31"/>
  <c r="DV25" i="31"/>
  <c r="EC25" i="31" s="1"/>
  <c r="I53" i="31"/>
  <c r="DL47" i="31" s="1"/>
  <c r="DS47" i="31" s="1"/>
  <c r="DZ47" i="31" s="1"/>
  <c r="EG47" i="31" s="1"/>
  <c r="H85" i="19"/>
  <c r="AV33" i="31"/>
  <c r="DW27" i="31" s="1"/>
  <c r="AL32" i="31"/>
  <c r="AV80" i="31"/>
  <c r="O86" i="18"/>
  <c r="E87" i="18"/>
  <c r="AF54" i="31" s="1"/>
  <c r="DO48" i="31" s="1"/>
  <c r="AS80" i="31"/>
  <c r="AU5" i="31"/>
  <c r="H66" i="17"/>
  <c r="AS33" i="31" s="1"/>
  <c r="H65" i="18"/>
  <c r="O86" i="19"/>
  <c r="E87" i="19"/>
  <c r="L54" i="31" s="1"/>
  <c r="DN48" i="31" s="1"/>
  <c r="D87" i="19"/>
  <c r="K54" i="31" s="1"/>
  <c r="F86" i="19"/>
  <c r="M53" i="31" s="1"/>
  <c r="N86" i="19"/>
  <c r="N86" i="18"/>
  <c r="D87" i="18"/>
  <c r="AE54" i="31" s="1"/>
  <c r="F86" i="18"/>
  <c r="AG53" i="31" s="1"/>
  <c r="O87" i="17"/>
  <c r="E88" i="17"/>
  <c r="AP55" i="31" s="1"/>
  <c r="DP49" i="31" s="1"/>
  <c r="D88" i="17"/>
  <c r="AO55" i="31" s="1"/>
  <c r="F87" i="17"/>
  <c r="AQ54" i="31" s="1"/>
  <c r="N87" i="17"/>
  <c r="ET33" i="31" l="1"/>
  <c r="E33" i="31"/>
  <c r="EV31" i="31"/>
  <c r="CF10" i="31"/>
  <c r="G7" i="44" s="1"/>
  <c r="AS5" i="31"/>
  <c r="ER32" i="31"/>
  <c r="AN94" i="31"/>
  <c r="AN47" i="31"/>
  <c r="AD95" i="31"/>
  <c r="CE37" i="31" s="1"/>
  <c r="AD12" i="31"/>
  <c r="AH2" i="31" s="1"/>
  <c r="AD11" i="31"/>
  <c r="R33" i="31"/>
  <c r="DU27" i="31" s="1"/>
  <c r="DU26" i="31"/>
  <c r="EB26" i="31" s="1"/>
  <c r="EI26" i="31" s="1"/>
  <c r="R10" i="31"/>
  <c r="O80" i="31"/>
  <c r="O10" i="31"/>
  <c r="P3" i="31" s="1"/>
  <c r="R80" i="31"/>
  <c r="H66" i="19"/>
  <c r="O33" i="31" s="1"/>
  <c r="C33" i="31" s="1"/>
  <c r="U69" i="17"/>
  <c r="V68" i="17"/>
  <c r="G89" i="17"/>
  <c r="AR55" i="31"/>
  <c r="G88" i="19"/>
  <c r="N54" i="31"/>
  <c r="V66" i="19"/>
  <c r="U67" i="19"/>
  <c r="V67" i="18"/>
  <c r="U68" i="18"/>
  <c r="AH54" i="31"/>
  <c r="G88" i="18"/>
  <c r="EJ25" i="31"/>
  <c r="EK26" i="31"/>
  <c r="O52" i="31"/>
  <c r="C52" i="31" s="1"/>
  <c r="ED27" i="31"/>
  <c r="AL10" i="31"/>
  <c r="AL5" i="31" s="1"/>
  <c r="DV26" i="31"/>
  <c r="EC26" i="31" s="1"/>
  <c r="I54" i="31"/>
  <c r="DL48" i="31" s="1"/>
  <c r="DS48" i="31" s="1"/>
  <c r="DZ48" i="31" s="1"/>
  <c r="EG48" i="31" s="1"/>
  <c r="H86" i="19"/>
  <c r="AV81" i="31"/>
  <c r="AV34" i="31"/>
  <c r="DW28" i="31" s="1"/>
  <c r="AL80" i="31"/>
  <c r="AL33" i="31"/>
  <c r="DV27" i="31" s="1"/>
  <c r="O87" i="18"/>
  <c r="E88" i="18"/>
  <c r="AF55" i="31" s="1"/>
  <c r="DO49" i="31" s="1"/>
  <c r="AS81" i="31"/>
  <c r="AI32" i="31"/>
  <c r="D32" i="31" s="1"/>
  <c r="H67" i="17"/>
  <c r="AS34" i="31" s="1"/>
  <c r="H66" i="18"/>
  <c r="AI33" i="31" s="1"/>
  <c r="N87" i="19"/>
  <c r="D88" i="19"/>
  <c r="K55" i="31" s="1"/>
  <c r="F87" i="19"/>
  <c r="M54" i="31" s="1"/>
  <c r="O87" i="19"/>
  <c r="E88" i="19"/>
  <c r="L55" i="31" s="1"/>
  <c r="DN49" i="31" s="1"/>
  <c r="N87" i="18"/>
  <c r="F87" i="18"/>
  <c r="AG54" i="31" s="1"/>
  <c r="D88" i="18"/>
  <c r="AE55" i="31" s="1"/>
  <c r="E89" i="17"/>
  <c r="AP56" i="31" s="1"/>
  <c r="DP50" i="31" s="1"/>
  <c r="O88" i="17"/>
  <c r="N88" i="17"/>
  <c r="F88" i="17"/>
  <c r="AQ55" i="31" s="1"/>
  <c r="D89" i="17"/>
  <c r="AO56" i="31" s="1"/>
  <c r="G32" i="31" l="1"/>
  <c r="V36" i="29" s="1"/>
  <c r="X36" i="29" s="1"/>
  <c r="S36" i="29"/>
  <c r="S12" i="29" s="1"/>
  <c r="ET34" i="31"/>
  <c r="E34" i="31"/>
  <c r="ES33" i="31"/>
  <c r="D33" i="31"/>
  <c r="G33" i="31" s="1"/>
  <c r="AI80" i="31"/>
  <c r="AI81" i="31" s="1"/>
  <c r="ES32" i="31"/>
  <c r="EV32" i="31" s="1"/>
  <c r="ER33" i="31"/>
  <c r="R5" i="31"/>
  <c r="AN95" i="31"/>
  <c r="CF37" i="31" s="1"/>
  <c r="AN12" i="31"/>
  <c r="AN11" i="31"/>
  <c r="EB27" i="31"/>
  <c r="O5" i="31"/>
  <c r="CD10" i="31"/>
  <c r="O81" i="31"/>
  <c r="R81" i="31"/>
  <c r="G8" i="44"/>
  <c r="R34" i="31"/>
  <c r="DU28" i="31" s="1"/>
  <c r="AR56" i="31"/>
  <c r="G90" i="17"/>
  <c r="V69" i="17"/>
  <c r="U70" i="17"/>
  <c r="H67" i="19"/>
  <c r="O34" i="31" s="1"/>
  <c r="C34" i="31" s="1"/>
  <c r="N55" i="31"/>
  <c r="G89" i="19"/>
  <c r="V67" i="19"/>
  <c r="U68" i="19"/>
  <c r="G89" i="18"/>
  <c r="AH55" i="31"/>
  <c r="U69" i="18"/>
  <c r="V68" i="18"/>
  <c r="EJ26" i="31"/>
  <c r="EK27" i="31"/>
  <c r="O53" i="31"/>
  <c r="C53" i="31" s="1"/>
  <c r="ED28" i="31"/>
  <c r="EC27" i="31"/>
  <c r="I55" i="31"/>
  <c r="DL49" i="31" s="1"/>
  <c r="DS49" i="31" s="1"/>
  <c r="DZ49" i="31" s="1"/>
  <c r="EG49" i="31" s="1"/>
  <c r="AV82" i="31"/>
  <c r="AL81" i="31"/>
  <c r="AL34" i="31"/>
  <c r="DV28" i="31" s="1"/>
  <c r="AV35" i="31"/>
  <c r="O88" i="18"/>
  <c r="E89" i="18"/>
  <c r="AF56" i="31" s="1"/>
  <c r="DO50" i="31" s="1"/>
  <c r="AK10" i="31"/>
  <c r="AS82" i="31"/>
  <c r="AI10" i="31"/>
  <c r="AJ3" i="31" s="1"/>
  <c r="H87" i="19"/>
  <c r="H68" i="17"/>
  <c r="AS35" i="31" s="1"/>
  <c r="H67" i="18"/>
  <c r="AI34" i="31" s="1"/>
  <c r="F88" i="19"/>
  <c r="M55" i="31" s="1"/>
  <c r="D89" i="19"/>
  <c r="K56" i="31" s="1"/>
  <c r="N88" i="19"/>
  <c r="E89" i="19"/>
  <c r="L56" i="31" s="1"/>
  <c r="DN50" i="31" s="1"/>
  <c r="O88" i="19"/>
  <c r="D89" i="18"/>
  <c r="AE56" i="31" s="1"/>
  <c r="N88" i="18"/>
  <c r="F88" i="18"/>
  <c r="AG55" i="31" s="1"/>
  <c r="D90" i="17"/>
  <c r="AO57" i="31" s="1"/>
  <c r="N89" i="17"/>
  <c r="F89" i="17"/>
  <c r="AQ56" i="31" s="1"/>
  <c r="E90" i="17"/>
  <c r="AP57" i="31" s="1"/>
  <c r="DP51" i="31" s="1"/>
  <c r="O89" i="17"/>
  <c r="ES34" i="31" l="1"/>
  <c r="D34" i="31"/>
  <c r="G34" i="31" s="1"/>
  <c r="ET35" i="31"/>
  <c r="E35" i="31"/>
  <c r="EV33" i="31"/>
  <c r="ER34" i="31"/>
  <c r="EV34" i="31" s="1"/>
  <c r="EB28" i="31"/>
  <c r="EI28" i="31" s="1"/>
  <c r="EI27" i="31"/>
  <c r="E7" i="44"/>
  <c r="H14" i="44" s="1"/>
  <c r="R82" i="31"/>
  <c r="H68" i="19"/>
  <c r="O35" i="31" s="1"/>
  <c r="C35" i="31" s="1"/>
  <c r="R35" i="31"/>
  <c r="O82" i="31"/>
  <c r="U71" i="17"/>
  <c r="V70" i="17"/>
  <c r="AR57" i="31"/>
  <c r="V68" i="19"/>
  <c r="U69" i="19"/>
  <c r="N56" i="31"/>
  <c r="G90" i="19"/>
  <c r="EC28" i="31"/>
  <c r="EJ28" i="31" s="1"/>
  <c r="U70" i="18"/>
  <c r="V69" i="18"/>
  <c r="G90" i="18"/>
  <c r="AH56" i="31"/>
  <c r="EK28" i="31"/>
  <c r="EJ27" i="31"/>
  <c r="O54" i="31"/>
  <c r="C54" i="31" s="1"/>
  <c r="AV83" i="31"/>
  <c r="DW29" i="31"/>
  <c r="ED29" i="31" s="1"/>
  <c r="I56" i="31"/>
  <c r="DL50" i="31" s="1"/>
  <c r="DS50" i="31" s="1"/>
  <c r="DZ50" i="31" s="1"/>
  <c r="EG50" i="31" s="1"/>
  <c r="AL82" i="31"/>
  <c r="AL35" i="31"/>
  <c r="DV29" i="31" s="1"/>
  <c r="AV36" i="31"/>
  <c r="E90" i="18"/>
  <c r="AF57" i="31" s="1"/>
  <c r="DO51" i="31" s="1"/>
  <c r="O89" i="18"/>
  <c r="AS83" i="31"/>
  <c r="AK5" i="31"/>
  <c r="AI82" i="31"/>
  <c r="CE10" i="31"/>
  <c r="F7" i="44" s="1"/>
  <c r="AI5" i="31"/>
  <c r="H69" i="17"/>
  <c r="AS36" i="31" s="1"/>
  <c r="H68" i="18"/>
  <c r="AI35" i="31" s="1"/>
  <c r="E90" i="19"/>
  <c r="L57" i="31" s="1"/>
  <c r="DN51" i="31" s="1"/>
  <c r="O89" i="19"/>
  <c r="D90" i="19"/>
  <c r="K57" i="31" s="1"/>
  <c r="F89" i="19"/>
  <c r="M56" i="31" s="1"/>
  <c r="N89" i="19"/>
  <c r="H88" i="19"/>
  <c r="D90" i="18"/>
  <c r="AE57" i="31" s="1"/>
  <c r="F89" i="18"/>
  <c r="AG56" i="31" s="1"/>
  <c r="N89" i="18"/>
  <c r="O90" i="17"/>
  <c r="N90" i="17"/>
  <c r="F90" i="17"/>
  <c r="AQ57" i="31" s="1"/>
  <c r="ET36" i="31" l="1"/>
  <c r="E36" i="31"/>
  <c r="ES35" i="31"/>
  <c r="D35" i="31"/>
  <c r="G35" i="31" s="1"/>
  <c r="ER35" i="31"/>
  <c r="I14" i="44"/>
  <c r="E8" i="44"/>
  <c r="CI10" i="31"/>
  <c r="EC29" i="31"/>
  <c r="H15" i="44"/>
  <c r="S16" i="29" s="1"/>
  <c r="R36" i="31"/>
  <c r="H69" i="19"/>
  <c r="O36" i="31" s="1"/>
  <c r="C36" i="31" s="1"/>
  <c r="O83" i="31"/>
  <c r="R83" i="31"/>
  <c r="DU29" i="31"/>
  <c r="EB29" i="31" s="1"/>
  <c r="F8" i="44"/>
  <c r="I7" i="44"/>
  <c r="U72" i="17"/>
  <c r="V71" i="17"/>
  <c r="N57" i="31"/>
  <c r="U70" i="19"/>
  <c r="R37" i="31" s="1"/>
  <c r="V69" i="19"/>
  <c r="AH57" i="31"/>
  <c r="U71" i="18"/>
  <c r="V70" i="18"/>
  <c r="EK29" i="31"/>
  <c r="O55" i="31"/>
  <c r="C55" i="31" s="1"/>
  <c r="AV84" i="31"/>
  <c r="DW30" i="31"/>
  <c r="ED30" i="31" s="1"/>
  <c r="I57" i="31"/>
  <c r="DL51" i="31" s="1"/>
  <c r="DS51" i="31" s="1"/>
  <c r="DZ51" i="31" s="1"/>
  <c r="EG51" i="31" s="1"/>
  <c r="AL83" i="31"/>
  <c r="AS84" i="31"/>
  <c r="AL36" i="31"/>
  <c r="DV30" i="31" s="1"/>
  <c r="AV37" i="31"/>
  <c r="O90" i="18"/>
  <c r="AI83" i="31"/>
  <c r="H70" i="17"/>
  <c r="AS37" i="31" s="1"/>
  <c r="H69" i="18"/>
  <c r="AI36" i="31" s="1"/>
  <c r="F90" i="19"/>
  <c r="M57" i="31" s="1"/>
  <c r="N90" i="19"/>
  <c r="H89" i="19"/>
  <c r="O90" i="19"/>
  <c r="N90" i="18"/>
  <c r="F90" i="18"/>
  <c r="AG57" i="31" s="1"/>
  <c r="EV35" i="31" l="1"/>
  <c r="ET37" i="31"/>
  <c r="E37" i="31"/>
  <c r="ES36" i="31"/>
  <c r="D36" i="31"/>
  <c r="G36" i="31" s="1"/>
  <c r="ER36" i="31"/>
  <c r="EV36" i="31" s="1"/>
  <c r="H18" i="44"/>
  <c r="EC30" i="31"/>
  <c r="EJ29" i="31"/>
  <c r="DU30" i="31"/>
  <c r="EB30" i="31" s="1"/>
  <c r="I15" i="44"/>
  <c r="I18" i="44" s="1"/>
  <c r="I8" i="44"/>
  <c r="O84" i="31"/>
  <c r="R84" i="31"/>
  <c r="H70" i="19"/>
  <c r="O37" i="31" s="1"/>
  <c r="C37" i="31" s="1"/>
  <c r="EI29" i="31"/>
  <c r="V72" i="17"/>
  <c r="U73" i="17"/>
  <c r="V70" i="19"/>
  <c r="U71" i="19"/>
  <c r="H71" i="19" s="1"/>
  <c r="O38" i="31" s="1"/>
  <c r="C38" i="31" s="1"/>
  <c r="V71" i="18"/>
  <c r="U72" i="18"/>
  <c r="EK30" i="31"/>
  <c r="O56" i="31"/>
  <c r="C56" i="31" s="1"/>
  <c r="DU31" i="31"/>
  <c r="AV85" i="31"/>
  <c r="DW31" i="31"/>
  <c r="ED31" i="31" s="1"/>
  <c r="AS85" i="31"/>
  <c r="AL84" i="31"/>
  <c r="AV38" i="31"/>
  <c r="AL37" i="31"/>
  <c r="DV31" i="31" s="1"/>
  <c r="AI84" i="31"/>
  <c r="H71" i="17"/>
  <c r="AS38" i="31" s="1"/>
  <c r="H70" i="18"/>
  <c r="AI37" i="31" s="1"/>
  <c r="H90" i="19"/>
  <c r="ES37" i="31" l="1"/>
  <c r="D37" i="31"/>
  <c r="ET38" i="31"/>
  <c r="E38" i="31"/>
  <c r="G37" i="31"/>
  <c r="ER38" i="31"/>
  <c r="ER37" i="31"/>
  <c r="EV37" i="31" s="1"/>
  <c r="EC31" i="31"/>
  <c r="EJ30" i="31"/>
  <c r="R38" i="31"/>
  <c r="EI30" i="31"/>
  <c r="EB31" i="31"/>
  <c r="R85" i="31"/>
  <c r="O85" i="31"/>
  <c r="O86" i="31" s="1"/>
  <c r="V73" i="17"/>
  <c r="U74" i="17"/>
  <c r="U72" i="19"/>
  <c r="R39" i="31" s="1"/>
  <c r="V71" i="19"/>
  <c r="U73" i="18"/>
  <c r="V72" i="18"/>
  <c r="EK31" i="31"/>
  <c r="O57" i="31"/>
  <c r="C57" i="31" s="1"/>
  <c r="AS86" i="31"/>
  <c r="AV86" i="31"/>
  <c r="DW32" i="31"/>
  <c r="ED32" i="31" s="1"/>
  <c r="AL85" i="31"/>
  <c r="AI85" i="31"/>
  <c r="AV39" i="31"/>
  <c r="AL38" i="31"/>
  <c r="DV32" i="31" s="1"/>
  <c r="H72" i="17"/>
  <c r="AS39" i="31" s="1"/>
  <c r="H71" i="18"/>
  <c r="AI38" i="31" s="1"/>
  <c r="ET39" i="31" l="1"/>
  <c r="E39" i="31"/>
  <c r="ES38" i="31"/>
  <c r="D38" i="31"/>
  <c r="G38" i="31" s="1"/>
  <c r="DU32" i="31"/>
  <c r="EB32" i="31" s="1"/>
  <c r="EI32" i="31" s="1"/>
  <c r="EV38" i="31"/>
  <c r="EC32" i="31"/>
  <c r="EJ32" i="31" s="1"/>
  <c r="EJ31" i="31"/>
  <c r="R86" i="31"/>
  <c r="EI31" i="31"/>
  <c r="H72" i="19"/>
  <c r="O39" i="31" s="1"/>
  <c r="C39" i="31" s="1"/>
  <c r="U75" i="17"/>
  <c r="V74" i="17"/>
  <c r="U73" i="19"/>
  <c r="R40" i="31" s="1"/>
  <c r="V72" i="19"/>
  <c r="U74" i="18"/>
  <c r="V73" i="18"/>
  <c r="EK32" i="31"/>
  <c r="AS87" i="31"/>
  <c r="AV87" i="31"/>
  <c r="DW33" i="31"/>
  <c r="ED33" i="31" s="1"/>
  <c r="DU33" i="31"/>
  <c r="AL86" i="31"/>
  <c r="AI86" i="31"/>
  <c r="AL39" i="31"/>
  <c r="AV40" i="31"/>
  <c r="H73" i="17"/>
  <c r="AS40" i="31" s="1"/>
  <c r="H72" i="18"/>
  <c r="AI39" i="31" s="1"/>
  <c r="ES39" i="31" l="1"/>
  <c r="D39" i="31"/>
  <c r="ET40" i="31"/>
  <c r="E40" i="31"/>
  <c r="G39" i="31"/>
  <c r="R87" i="31"/>
  <c r="ER39" i="31"/>
  <c r="EV39" i="31" s="1"/>
  <c r="EB33" i="31"/>
  <c r="EI33" i="31" s="1"/>
  <c r="O87" i="31"/>
  <c r="AS88" i="31"/>
  <c r="H73" i="19"/>
  <c r="O40" i="31" s="1"/>
  <c r="C40" i="31" s="1"/>
  <c r="AV42" i="31"/>
  <c r="V75" i="17"/>
  <c r="U76" i="17"/>
  <c r="U74" i="19"/>
  <c r="H74" i="19" s="1"/>
  <c r="O41" i="31" s="1"/>
  <c r="V73" i="19"/>
  <c r="U75" i="18"/>
  <c r="V74" i="18"/>
  <c r="EK33" i="31"/>
  <c r="AI87" i="31"/>
  <c r="AV88" i="31"/>
  <c r="DW34" i="31"/>
  <c r="ED34" i="31" s="1"/>
  <c r="AL87" i="31"/>
  <c r="DV33" i="31"/>
  <c r="EC33" i="31" s="1"/>
  <c r="DU34" i="31"/>
  <c r="AL40" i="31"/>
  <c r="AV41" i="31"/>
  <c r="H74" i="17"/>
  <c r="AS41" i="31" s="1"/>
  <c r="H73" i="18"/>
  <c r="AI40" i="31" s="1"/>
  <c r="ER41" i="31" l="1"/>
  <c r="C41" i="31"/>
  <c r="ES40" i="31"/>
  <c r="D40" i="31"/>
  <c r="ET41" i="31"/>
  <c r="E41" i="31"/>
  <c r="G40" i="31"/>
  <c r="EB34" i="31"/>
  <c r="EI34" i="31" s="1"/>
  <c r="R88" i="31"/>
  <c r="ER40" i="31"/>
  <c r="R41" i="31"/>
  <c r="AS89" i="31"/>
  <c r="O88" i="31"/>
  <c r="O89" i="31" s="1"/>
  <c r="AV43" i="31"/>
  <c r="U77" i="17"/>
  <c r="V76" i="17"/>
  <c r="V74" i="19"/>
  <c r="U75" i="19"/>
  <c r="H75" i="19" s="1"/>
  <c r="O42" i="31" s="1"/>
  <c r="AL42" i="31"/>
  <c r="U76" i="18"/>
  <c r="V75" i="18"/>
  <c r="AI88" i="31"/>
  <c r="EJ33" i="31"/>
  <c r="EK34" i="31"/>
  <c r="AL88" i="31"/>
  <c r="DV34" i="31"/>
  <c r="EC34" i="31" s="1"/>
  <c r="AV89" i="31"/>
  <c r="DW35" i="31"/>
  <c r="ED35" i="31" s="1"/>
  <c r="AL41" i="31"/>
  <c r="H75" i="17"/>
  <c r="AS42" i="31" s="1"/>
  <c r="H74" i="18"/>
  <c r="AI41" i="31" s="1"/>
  <c r="EV40" i="31" l="1"/>
  <c r="ET42" i="31"/>
  <c r="E42" i="31"/>
  <c r="ES41" i="31"/>
  <c r="EV41" i="31" s="1"/>
  <c r="D41" i="31"/>
  <c r="G41" i="31" s="1"/>
  <c r="ER42" i="31"/>
  <c r="C42" i="31"/>
  <c r="DU35" i="31"/>
  <c r="EB35" i="31" s="1"/>
  <c r="AS90" i="31"/>
  <c r="R89" i="31"/>
  <c r="AI89" i="31"/>
  <c r="AV44" i="31"/>
  <c r="U78" i="17"/>
  <c r="V77" i="17"/>
  <c r="R42" i="31"/>
  <c r="U76" i="19"/>
  <c r="V75" i="19"/>
  <c r="AL43" i="31"/>
  <c r="V76" i="18"/>
  <c r="U77" i="18"/>
  <c r="U78" i="18" s="1"/>
  <c r="O90" i="31"/>
  <c r="EK35" i="31"/>
  <c r="EJ34" i="31"/>
  <c r="AV90" i="31"/>
  <c r="DW36" i="31"/>
  <c r="ED36" i="31" s="1"/>
  <c r="AL89" i="31"/>
  <c r="DV35" i="31"/>
  <c r="EC35" i="31" s="1"/>
  <c r="H76" i="17"/>
  <c r="AS43" i="31" s="1"/>
  <c r="H75" i="18"/>
  <c r="AI42" i="31" s="1"/>
  <c r="ET43" i="31" l="1"/>
  <c r="E43" i="31"/>
  <c r="ES42" i="31"/>
  <c r="EV42" i="31" s="1"/>
  <c r="D42" i="31"/>
  <c r="G42" i="31" s="1"/>
  <c r="EI35" i="31"/>
  <c r="AS91" i="31"/>
  <c r="AI90" i="31"/>
  <c r="H76" i="19"/>
  <c r="O43" i="31" s="1"/>
  <c r="C43" i="31" s="1"/>
  <c r="R90" i="31"/>
  <c r="AV45" i="31"/>
  <c r="U79" i="17"/>
  <c r="V78" i="17"/>
  <c r="R43" i="31"/>
  <c r="U77" i="19"/>
  <c r="V76" i="19"/>
  <c r="DU36" i="31"/>
  <c r="EB36" i="31" s="1"/>
  <c r="EI36" i="31" s="1"/>
  <c r="AL44" i="31"/>
  <c r="V77" i="18"/>
  <c r="EJ35" i="31"/>
  <c r="EK36" i="31"/>
  <c r="AV91" i="31"/>
  <c r="DW37" i="31"/>
  <c r="ED37" i="31" s="1"/>
  <c r="AL90" i="31"/>
  <c r="DV36" i="31"/>
  <c r="EC36" i="31" s="1"/>
  <c r="H77" i="17"/>
  <c r="AS44" i="31" s="1"/>
  <c r="E44" i="31" s="1"/>
  <c r="H76" i="18"/>
  <c r="AI43" i="31" s="1"/>
  <c r="ES43" i="31" l="1"/>
  <c r="D43" i="31"/>
  <c r="G43" i="31"/>
  <c r="ER43" i="31"/>
  <c r="EV43" i="31" s="1"/>
  <c r="AS92" i="31"/>
  <c r="ET44" i="31"/>
  <c r="AI91" i="31"/>
  <c r="H77" i="19"/>
  <c r="O44" i="31" s="1"/>
  <c r="C44" i="31" s="1"/>
  <c r="O91" i="31"/>
  <c r="R91" i="31"/>
  <c r="DU37" i="31"/>
  <c r="EB37" i="31" s="1"/>
  <c r="EI37" i="31" s="1"/>
  <c r="AV46" i="31"/>
  <c r="V79" i="17"/>
  <c r="U80" i="17"/>
  <c r="R44" i="31"/>
  <c r="U78" i="19"/>
  <c r="V77" i="19"/>
  <c r="AL45" i="31"/>
  <c r="U79" i="18"/>
  <c r="V78" i="18"/>
  <c r="EJ36" i="31"/>
  <c r="EK37" i="31"/>
  <c r="AL91" i="31"/>
  <c r="DV37" i="31"/>
  <c r="EC37" i="31" s="1"/>
  <c r="AV92" i="31"/>
  <c r="DW38" i="31"/>
  <c r="ED38" i="31" s="1"/>
  <c r="H78" i="17"/>
  <c r="AS45" i="31" s="1"/>
  <c r="E45" i="31" s="1"/>
  <c r="H77" i="18"/>
  <c r="AI44" i="31" s="1"/>
  <c r="ES44" i="31" l="1"/>
  <c r="D44" i="31"/>
  <c r="G44" i="31" s="1"/>
  <c r="AS93" i="31"/>
  <c r="ET45" i="31"/>
  <c r="ER44" i="31"/>
  <c r="EV44" i="31" s="1"/>
  <c r="AI92" i="31"/>
  <c r="O92" i="31"/>
  <c r="H78" i="19"/>
  <c r="O45" i="31" s="1"/>
  <c r="C45" i="31" s="1"/>
  <c r="DU38" i="31"/>
  <c r="EB38" i="31" s="1"/>
  <c r="EI38" i="31" s="1"/>
  <c r="R92" i="31"/>
  <c r="AV47" i="31"/>
  <c r="U81" i="17"/>
  <c r="V80" i="17"/>
  <c r="R45" i="31"/>
  <c r="V78" i="19"/>
  <c r="U79" i="19"/>
  <c r="AL46" i="31"/>
  <c r="V79" i="18"/>
  <c r="U80" i="18"/>
  <c r="EK38" i="31"/>
  <c r="EJ37" i="31"/>
  <c r="AV93" i="31"/>
  <c r="DW39" i="31"/>
  <c r="ED39" i="31" s="1"/>
  <c r="AL92" i="31"/>
  <c r="DV38" i="31"/>
  <c r="EC38" i="31" s="1"/>
  <c r="H78" i="18"/>
  <c r="AI45" i="31" s="1"/>
  <c r="H79" i="17"/>
  <c r="AS46" i="31" s="1"/>
  <c r="E46" i="31" s="1"/>
  <c r="ES45" i="31" l="1"/>
  <c r="D45" i="31"/>
  <c r="G45" i="31"/>
  <c r="ER45" i="31"/>
  <c r="AS94" i="31"/>
  <c r="ET46" i="31"/>
  <c r="AI93" i="31"/>
  <c r="H79" i="19"/>
  <c r="O46" i="31" s="1"/>
  <c r="C46" i="31" s="1"/>
  <c r="O93" i="31"/>
  <c r="R93" i="31"/>
  <c r="DU39" i="31"/>
  <c r="EB39" i="31" s="1"/>
  <c r="AV48" i="31"/>
  <c r="U82" i="17"/>
  <c r="V81" i="17"/>
  <c r="H81" i="17"/>
  <c r="R46" i="31"/>
  <c r="V79" i="19"/>
  <c r="U80" i="19"/>
  <c r="H80" i="19" s="1"/>
  <c r="O47" i="31" s="1"/>
  <c r="U81" i="18"/>
  <c r="AL47" i="31"/>
  <c r="V80" i="18"/>
  <c r="EJ38" i="31"/>
  <c r="EK39" i="31"/>
  <c r="AL93" i="31"/>
  <c r="DV39" i="31"/>
  <c r="EC39" i="31" s="1"/>
  <c r="AV94" i="31"/>
  <c r="DW40" i="31"/>
  <c r="ED40" i="31" s="1"/>
  <c r="H80" i="17"/>
  <c r="AS47" i="31" s="1"/>
  <c r="H79" i="18"/>
  <c r="AI46" i="31" s="1"/>
  <c r="D46" i="31" s="1"/>
  <c r="G46" i="31" l="1"/>
  <c r="EV45" i="31"/>
  <c r="ET47" i="31"/>
  <c r="E47" i="31"/>
  <c r="ER47" i="31"/>
  <c r="C47" i="31"/>
  <c r="ER46" i="31"/>
  <c r="AI94" i="31"/>
  <c r="ES46" i="31"/>
  <c r="O94" i="31"/>
  <c r="O95" i="31" s="1"/>
  <c r="CD40" i="31" s="1"/>
  <c r="R94" i="31"/>
  <c r="EI39" i="31"/>
  <c r="DU40" i="31"/>
  <c r="EB40" i="31" s="1"/>
  <c r="EI40" i="31" s="1"/>
  <c r="AS48" i="31"/>
  <c r="E48" i="31" s="1"/>
  <c r="AV49" i="31"/>
  <c r="U83" i="17"/>
  <c r="V82" i="17"/>
  <c r="H82" i="17"/>
  <c r="R47" i="31"/>
  <c r="U81" i="19"/>
  <c r="V80" i="19"/>
  <c r="U82" i="18"/>
  <c r="AL48" i="31"/>
  <c r="V81" i="18"/>
  <c r="H81" i="18"/>
  <c r="EK40" i="31"/>
  <c r="EJ39" i="31"/>
  <c r="DW42" i="31"/>
  <c r="AV95" i="31"/>
  <c r="DW41" i="31"/>
  <c r="ED41" i="31" s="1"/>
  <c r="AL94" i="31"/>
  <c r="DV40" i="31"/>
  <c r="EC40" i="31" s="1"/>
  <c r="AV11" i="31"/>
  <c r="AV12" i="31"/>
  <c r="AU6" i="31" s="1"/>
  <c r="AU1" i="31" s="1"/>
  <c r="AS95" i="31"/>
  <c r="CF40" i="31" s="1"/>
  <c r="AS12" i="31"/>
  <c r="CF12" i="31" s="1"/>
  <c r="G10" i="44" s="1"/>
  <c r="H80" i="18"/>
  <c r="AI47" i="31" s="1"/>
  <c r="D47" i="31" s="1"/>
  <c r="O12" i="31"/>
  <c r="CD12" i="31" s="1"/>
  <c r="E10" i="44" s="1"/>
  <c r="O11" i="31"/>
  <c r="CD11" i="31" s="1"/>
  <c r="E9" i="44" s="1"/>
  <c r="AS11" i="31"/>
  <c r="CF11" i="31" s="1"/>
  <c r="G9" i="44" s="1"/>
  <c r="G47" i="31" l="1"/>
  <c r="EV46" i="31"/>
  <c r="AI95" i="31"/>
  <c r="CE40" i="31" s="1"/>
  <c r="ES47" i="31"/>
  <c r="EV47" i="31" s="1"/>
  <c r="R11" i="31"/>
  <c r="R12" i="31"/>
  <c r="DU41" i="31"/>
  <c r="EB41" i="31" s="1"/>
  <c r="R95" i="31"/>
  <c r="AV50" i="31"/>
  <c r="V83" i="17"/>
  <c r="U84" i="17"/>
  <c r="H83" i="17"/>
  <c r="AS49" i="31"/>
  <c r="E49" i="31" s="1"/>
  <c r="R48" i="31"/>
  <c r="DU42" i="31" s="1"/>
  <c r="V81" i="19"/>
  <c r="U82" i="19"/>
  <c r="AI48" i="31"/>
  <c r="D48" i="31" s="1"/>
  <c r="G48" i="31" s="1"/>
  <c r="U83" i="18"/>
  <c r="AL49" i="31"/>
  <c r="V82" i="18"/>
  <c r="H82" i="18"/>
  <c r="EK41" i="31"/>
  <c r="EJ40" i="31"/>
  <c r="ED42" i="31"/>
  <c r="DW43" i="31"/>
  <c r="DV42" i="31"/>
  <c r="AW61" i="31"/>
  <c r="AW63" i="31" s="1"/>
  <c r="AW64" i="31" s="1"/>
  <c r="AW65" i="31" s="1"/>
  <c r="AW66" i="31" s="1"/>
  <c r="AW67" i="31" s="1"/>
  <c r="AW68" i="31" s="1"/>
  <c r="AW69" i="31" s="1"/>
  <c r="AW70" i="31" s="1"/>
  <c r="AW71" i="31" s="1"/>
  <c r="AW72" i="31" s="1"/>
  <c r="AW73" i="31" s="1"/>
  <c r="AW74" i="31" s="1"/>
  <c r="AW75" i="31" s="1"/>
  <c r="AW76" i="31" s="1"/>
  <c r="AW77" i="31" s="1"/>
  <c r="AW78" i="31" s="1"/>
  <c r="AW79" i="31" s="1"/>
  <c r="AW80" i="31" s="1"/>
  <c r="AW81" i="31" s="1"/>
  <c r="AW82" i="31" s="1"/>
  <c r="AW83" i="31" s="1"/>
  <c r="AW84" i="31" s="1"/>
  <c r="AW85" i="31" s="1"/>
  <c r="AW86" i="31" s="1"/>
  <c r="AW87" i="31" s="1"/>
  <c r="AW88" i="31" s="1"/>
  <c r="AW89" i="31" s="1"/>
  <c r="AW90" i="31" s="1"/>
  <c r="AW91" i="31" s="1"/>
  <c r="AW92" i="31" s="1"/>
  <c r="AW93" i="31" s="1"/>
  <c r="AW94" i="31" s="1"/>
  <c r="AW95" i="31" s="1"/>
  <c r="AL95" i="31"/>
  <c r="DV41" i="31"/>
  <c r="EC41" i="31" s="1"/>
  <c r="AS6" i="31"/>
  <c r="AI12" i="31"/>
  <c r="CE12" i="31" s="1"/>
  <c r="F10" i="44" s="1"/>
  <c r="AI11" i="31"/>
  <c r="CE11" i="31" s="1"/>
  <c r="F9" i="44" s="1"/>
  <c r="AL12" i="31"/>
  <c r="AL11" i="31"/>
  <c r="AK12" i="31"/>
  <c r="AK11" i="31"/>
  <c r="S61" i="31" l="1"/>
  <c r="EI41" i="31"/>
  <c r="I9" i="44"/>
  <c r="I10" i="44"/>
  <c r="EB42" i="31"/>
  <c r="AS50" i="31"/>
  <c r="E50" i="31" s="1"/>
  <c r="AV51" i="31"/>
  <c r="V84" i="17"/>
  <c r="U85" i="17"/>
  <c r="H84" i="17"/>
  <c r="R49" i="31"/>
  <c r="DU43" i="31" s="1"/>
  <c r="V82" i="19"/>
  <c r="U83" i="19"/>
  <c r="AI49" i="31"/>
  <c r="D49" i="31" s="1"/>
  <c r="G49" i="31" s="1"/>
  <c r="U84" i="18"/>
  <c r="AL50" i="31"/>
  <c r="V83" i="18"/>
  <c r="H83" i="18"/>
  <c r="EJ41" i="31"/>
  <c r="EK42" i="31"/>
  <c r="EC42" i="31"/>
  <c r="ED43" i="31"/>
  <c r="DV43" i="31"/>
  <c r="DW44" i="31"/>
  <c r="AM61" i="31"/>
  <c r="AM63" i="31" s="1"/>
  <c r="AM64" i="31" s="1"/>
  <c r="AM65" i="31" s="1"/>
  <c r="AM66" i="31" s="1"/>
  <c r="AM67" i="31" s="1"/>
  <c r="AM68" i="31" s="1"/>
  <c r="AM69" i="31" s="1"/>
  <c r="AM70" i="31" s="1"/>
  <c r="AM71" i="31" s="1"/>
  <c r="AM72" i="31" s="1"/>
  <c r="AM73" i="31" s="1"/>
  <c r="AM74" i="31" s="1"/>
  <c r="AM75" i="31" s="1"/>
  <c r="AM76" i="31" s="1"/>
  <c r="AM77" i="31" s="1"/>
  <c r="AM78" i="31" s="1"/>
  <c r="AM79" i="31" s="1"/>
  <c r="AM80" i="31" s="1"/>
  <c r="AM81" i="31" s="1"/>
  <c r="AM82" i="31" s="1"/>
  <c r="AM83" i="31" s="1"/>
  <c r="AM84" i="31" s="1"/>
  <c r="AM85" i="31" s="1"/>
  <c r="AM86" i="31" s="1"/>
  <c r="AM87" i="31" s="1"/>
  <c r="AM88" i="31" s="1"/>
  <c r="AM89" i="31" s="1"/>
  <c r="AM90" i="31" s="1"/>
  <c r="AM91" i="31" s="1"/>
  <c r="AM92" i="31" s="1"/>
  <c r="AM93" i="31" s="1"/>
  <c r="AM94" i="31" s="1"/>
  <c r="AM95" i="31" s="1"/>
  <c r="AI6" i="31"/>
  <c r="AK6" i="31"/>
  <c r="AK1" i="31" s="1"/>
  <c r="EB43" i="31" l="1"/>
  <c r="EI42" i="31"/>
  <c r="AS51" i="31"/>
  <c r="E51" i="31" s="1"/>
  <c r="AV52" i="31"/>
  <c r="V85" i="17"/>
  <c r="U86" i="17"/>
  <c r="H85" i="17"/>
  <c r="R50" i="31"/>
  <c r="DU44" i="31" s="1"/>
  <c r="V83" i="19"/>
  <c r="U84" i="19"/>
  <c r="AI50" i="31"/>
  <c r="D50" i="31" s="1"/>
  <c r="G50" i="31" s="1"/>
  <c r="U85" i="18"/>
  <c r="AL51" i="31"/>
  <c r="V84" i="18"/>
  <c r="H84" i="18"/>
  <c r="EK43" i="31"/>
  <c r="EJ42" i="31"/>
  <c r="ED44" i="31"/>
  <c r="EC43" i="31"/>
  <c r="DW45" i="31"/>
  <c r="DV44" i="31"/>
  <c r="EI43" i="31" l="1"/>
  <c r="EB44" i="31"/>
  <c r="EI44" i="31" s="1"/>
  <c r="AS52" i="31"/>
  <c r="E52" i="31" s="1"/>
  <c r="AV53" i="31"/>
  <c r="V86" i="17"/>
  <c r="U87" i="17"/>
  <c r="H86" i="17"/>
  <c r="R51" i="31"/>
  <c r="DU45" i="31" s="1"/>
  <c r="EB45" i="31" s="1"/>
  <c r="U85" i="19"/>
  <c r="V84" i="19"/>
  <c r="AI51" i="31"/>
  <c r="D51" i="31" s="1"/>
  <c r="G51" i="31" s="1"/>
  <c r="U86" i="18"/>
  <c r="AL52" i="31"/>
  <c r="V85" i="18"/>
  <c r="H85" i="18"/>
  <c r="EC44" i="31"/>
  <c r="EJ44" i="31" s="1"/>
  <c r="ED45" i="31"/>
  <c r="EJ43" i="31"/>
  <c r="EK44" i="31"/>
  <c r="DV45" i="31"/>
  <c r="DW46" i="31"/>
  <c r="EI45" i="31" l="1"/>
  <c r="ED46" i="31"/>
  <c r="EK46" i="31" s="1"/>
  <c r="AV54" i="31"/>
  <c r="U88" i="17"/>
  <c r="V87" i="17"/>
  <c r="H87" i="17"/>
  <c r="AS53" i="31"/>
  <c r="E53" i="31" s="1"/>
  <c r="R52" i="31"/>
  <c r="DU46" i="31" s="1"/>
  <c r="EB46" i="31" s="1"/>
  <c r="EI46" i="31" s="1"/>
  <c r="U86" i="19"/>
  <c r="V85" i="19"/>
  <c r="AI52" i="31"/>
  <c r="D52" i="31" s="1"/>
  <c r="G52" i="31" s="1"/>
  <c r="U87" i="18"/>
  <c r="AL53" i="31"/>
  <c r="V86" i="18"/>
  <c r="H86" i="18"/>
  <c r="EC45" i="31"/>
  <c r="EK45" i="31"/>
  <c r="DW47" i="31"/>
  <c r="DV46" i="31"/>
  <c r="ED47" i="31" l="1"/>
  <c r="EK47" i="31" s="1"/>
  <c r="AS54" i="31"/>
  <c r="E54" i="31" s="1"/>
  <c r="AV55" i="31"/>
  <c r="U89" i="17"/>
  <c r="V88" i="17"/>
  <c r="H88" i="17"/>
  <c r="R53" i="31"/>
  <c r="DU47" i="31" s="1"/>
  <c r="EB47" i="31" s="1"/>
  <c r="V86" i="19"/>
  <c r="U87" i="19"/>
  <c r="AI53" i="31"/>
  <c r="D53" i="31" s="1"/>
  <c r="G53" i="31" s="1"/>
  <c r="U88" i="18"/>
  <c r="AL54" i="31"/>
  <c r="V87" i="18"/>
  <c r="H87" i="18"/>
  <c r="EC46" i="31"/>
  <c r="EJ46" i="31" s="1"/>
  <c r="EJ45" i="31"/>
  <c r="DV47" i="31"/>
  <c r="DW48" i="31"/>
  <c r="ED48" i="31" l="1"/>
  <c r="EK48" i="31" s="1"/>
  <c r="EI47" i="31"/>
  <c r="EC47" i="31"/>
  <c r="AS55" i="31"/>
  <c r="E55" i="31" s="1"/>
  <c r="AV56" i="31"/>
  <c r="V89" i="17"/>
  <c r="U90" i="17"/>
  <c r="H89" i="17"/>
  <c r="R54" i="31"/>
  <c r="DU48" i="31" s="1"/>
  <c r="EB48" i="31" s="1"/>
  <c r="EI48" i="31" s="1"/>
  <c r="U88" i="19"/>
  <c r="V87" i="19"/>
  <c r="AI54" i="31"/>
  <c r="D54" i="31" s="1"/>
  <c r="G54" i="31" s="1"/>
  <c r="U89" i="18"/>
  <c r="AL55" i="31"/>
  <c r="V88" i="18"/>
  <c r="H88" i="18"/>
  <c r="DW49" i="31"/>
  <c r="DV48" i="31"/>
  <c r="ED49" i="31" l="1"/>
  <c r="EK49" i="31" s="1"/>
  <c r="EJ47" i="31"/>
  <c r="EC48" i="31"/>
  <c r="AV57" i="31"/>
  <c r="DW51" i="31" s="1"/>
  <c r="V90" i="17"/>
  <c r="U91" i="17"/>
  <c r="H90" i="17"/>
  <c r="AS56" i="31"/>
  <c r="E56" i="31" s="1"/>
  <c r="R55" i="31"/>
  <c r="DU49" i="31" s="1"/>
  <c r="EB49" i="31" s="1"/>
  <c r="EI49" i="31" s="1"/>
  <c r="U89" i="19"/>
  <c r="V88" i="19"/>
  <c r="AI55" i="31"/>
  <c r="D55" i="31" s="1"/>
  <c r="G55" i="31" s="1"/>
  <c r="U90" i="18"/>
  <c r="AL56" i="31"/>
  <c r="V89" i="18"/>
  <c r="H89" i="18"/>
  <c r="DV49" i="31"/>
  <c r="DW50" i="31"/>
  <c r="ED50" i="31" l="1"/>
  <c r="ED51" i="31" s="1"/>
  <c r="EJ48" i="31"/>
  <c r="EC49" i="31"/>
  <c r="U92" i="17"/>
  <c r="V91" i="17"/>
  <c r="AS57" i="31"/>
  <c r="E57" i="31" s="1"/>
  <c r="R56" i="31"/>
  <c r="DU50" i="31" s="1"/>
  <c r="EB50" i="31" s="1"/>
  <c r="EI50" i="31" s="1"/>
  <c r="V89" i="19"/>
  <c r="U90" i="19"/>
  <c r="AI56" i="31"/>
  <c r="D56" i="31" s="1"/>
  <c r="G56" i="31" s="1"/>
  <c r="U91" i="18"/>
  <c r="AL57" i="31"/>
  <c r="DV51" i="31" s="1"/>
  <c r="V90" i="18"/>
  <c r="H90" i="18"/>
  <c r="DV50" i="31"/>
  <c r="EK50" i="31" l="1"/>
  <c r="EC50" i="31"/>
  <c r="EJ50" i="31" s="1"/>
  <c r="EJ49" i="31"/>
  <c r="U93" i="17"/>
  <c r="V92" i="17"/>
  <c r="R57" i="31"/>
  <c r="DU51" i="31" s="1"/>
  <c r="EB51" i="31" s="1"/>
  <c r="V90" i="19"/>
  <c r="U91" i="19"/>
  <c r="AI57" i="31"/>
  <c r="D57" i="31" s="1"/>
  <c r="G57" i="31" s="1"/>
  <c r="U92" i="18"/>
  <c r="V91" i="18"/>
  <c r="EK51" i="31"/>
  <c r="EC51" i="31" l="1"/>
  <c r="EI51" i="31"/>
  <c r="V93" i="17"/>
  <c r="V91" i="19"/>
  <c r="U92" i="19"/>
  <c r="U93" i="18"/>
  <c r="V92" i="18"/>
  <c r="EJ51" i="31" l="1"/>
  <c r="V92" i="19"/>
  <c r="U93" i="19"/>
  <c r="V93" i="18"/>
  <c r="V93" i="19" l="1"/>
  <c r="AX14" i="39" l="1"/>
  <c r="AX9" i="39" s="1"/>
  <c r="AX8" i="39" s="1"/>
  <c r="AW9" i="39"/>
  <c r="AW8" i="39" s="1"/>
  <c r="AX17" i="39" s="1"/>
  <c r="AJ14" i="39"/>
  <c r="AY14" i="39" l="1"/>
  <c r="AZ14" i="39" s="1"/>
  <c r="AZ9" i="39"/>
  <c r="AZ8" i="39" s="1"/>
  <c r="AY9" i="39"/>
  <c r="AY8" i="39" s="1"/>
  <c r="AH14" i="39"/>
  <c r="AP41" i="39"/>
  <c r="AP33" i="39"/>
  <c r="AP25" i="39"/>
  <c r="AP17" i="39"/>
  <c r="AP39" i="39"/>
  <c r="AP31" i="39"/>
  <c r="AP23" i="39"/>
  <c r="AP16" i="39"/>
  <c r="AP46" i="39"/>
  <c r="AP38" i="39"/>
  <c r="AP30" i="39"/>
  <c r="AP22" i="39"/>
  <c r="AP14" i="39"/>
  <c r="AP45" i="39"/>
  <c r="AP37" i="39"/>
  <c r="AP29" i="39"/>
  <c r="AP21" i="39"/>
  <c r="C48" i="17"/>
  <c r="AP44" i="39"/>
  <c r="AP36" i="39"/>
  <c r="AP28" i="39"/>
  <c r="AP20" i="39"/>
  <c r="AP32" i="39"/>
  <c r="AP27" i="39"/>
  <c r="AP26" i="39"/>
  <c r="AP43" i="39"/>
  <c r="AP24" i="39"/>
  <c r="AP42" i="39"/>
  <c r="AP19" i="39"/>
  <c r="AP40" i="39"/>
  <c r="AP18" i="39"/>
  <c r="AP35" i="39"/>
  <c r="AP15" i="39"/>
  <c r="AP34" i="39"/>
  <c r="AI14" i="39"/>
  <c r="C48" i="18" l="1"/>
  <c r="AO44" i="39"/>
  <c r="AO36" i="39"/>
  <c r="AO28" i="39"/>
  <c r="AO20" i="39"/>
  <c r="AO42" i="39"/>
  <c r="AO34" i="39"/>
  <c r="AO26" i="39"/>
  <c r="AO18" i="39"/>
  <c r="AO41" i="39"/>
  <c r="AO33" i="39"/>
  <c r="AO25" i="39"/>
  <c r="AO17" i="39"/>
  <c r="AO40" i="39"/>
  <c r="AO32" i="39"/>
  <c r="AO24" i="39"/>
  <c r="AO14" i="39"/>
  <c r="AO39" i="39"/>
  <c r="AO31" i="39"/>
  <c r="AO23" i="39"/>
  <c r="AO16" i="39"/>
  <c r="AO38" i="39"/>
  <c r="AO19" i="39"/>
  <c r="AO37" i="39"/>
  <c r="AO35" i="39"/>
  <c r="AO15" i="39"/>
  <c r="AO27" i="39"/>
  <c r="AO30" i="39"/>
  <c r="AO29" i="39"/>
  <c r="AO46" i="39"/>
  <c r="AO45" i="39"/>
  <c r="AO22" i="39"/>
  <c r="AO43" i="39"/>
  <c r="AO21" i="39"/>
  <c r="AX18" i="39"/>
  <c r="AN15" i="31"/>
  <c r="AT27" i="31" s="1"/>
  <c r="C5" i="17"/>
  <c r="C2" i="17" s="1"/>
  <c r="M80" i="17"/>
  <c r="P80" i="17" s="1"/>
  <c r="M72" i="17"/>
  <c r="M68" i="17"/>
  <c r="M64" i="17"/>
  <c r="M49" i="17"/>
  <c r="M82" i="17"/>
  <c r="M60" i="17"/>
  <c r="P60" i="17" s="1"/>
  <c r="M56" i="17"/>
  <c r="M52" i="17"/>
  <c r="M83" i="17"/>
  <c r="M81" i="17"/>
  <c r="M78" i="17"/>
  <c r="M67" i="17"/>
  <c r="M63" i="17"/>
  <c r="M74" i="17"/>
  <c r="M70" i="17"/>
  <c r="P70" i="17" s="1"/>
  <c r="M59" i="17"/>
  <c r="M51" i="17"/>
  <c r="M50" i="17"/>
  <c r="P50" i="17" s="1"/>
  <c r="M77" i="17"/>
  <c r="M66" i="17"/>
  <c r="M62" i="17"/>
  <c r="M55" i="17"/>
  <c r="P55" i="17" s="1"/>
  <c r="M86" i="17"/>
  <c r="M89" i="17"/>
  <c r="M73" i="17"/>
  <c r="M53" i="17"/>
  <c r="H48" i="17"/>
  <c r="M71" i="17"/>
  <c r="M61" i="17"/>
  <c r="M88" i="17"/>
  <c r="M69" i="17"/>
  <c r="M48" i="17"/>
  <c r="M79" i="17"/>
  <c r="M58" i="17"/>
  <c r="M87" i="17"/>
  <c r="M57" i="17"/>
  <c r="M90" i="17"/>
  <c r="M76" i="17"/>
  <c r="M65" i="17"/>
  <c r="M85" i="17"/>
  <c r="M54" i="17"/>
  <c r="M84" i="17"/>
  <c r="M75" i="17"/>
  <c r="AY17" i="39"/>
  <c r="AN45" i="39"/>
  <c r="AN37" i="39"/>
  <c r="AN29" i="39"/>
  <c r="AN21" i="39"/>
  <c r="C48" i="19"/>
  <c r="H48" i="19" s="1"/>
  <c r="AN43" i="39"/>
  <c r="AN35" i="39"/>
  <c r="AN27" i="39"/>
  <c r="AN19" i="39"/>
  <c r="AN42" i="39"/>
  <c r="AN34" i="39"/>
  <c r="AN26" i="39"/>
  <c r="AN18" i="39"/>
  <c r="AN41" i="39"/>
  <c r="AN33" i="39"/>
  <c r="AN25" i="39"/>
  <c r="AN17" i="39"/>
  <c r="AN40" i="39"/>
  <c r="AN32" i="39"/>
  <c r="AN24" i="39"/>
  <c r="AN16" i="39"/>
  <c r="AN39" i="39"/>
  <c r="AN20" i="39"/>
  <c r="AN38" i="39"/>
  <c r="AN14" i="39"/>
  <c r="AN36" i="39"/>
  <c r="AN15" i="39"/>
  <c r="AN31" i="39"/>
  <c r="AN28" i="39"/>
  <c r="AN30" i="39"/>
  <c r="AN46" i="39"/>
  <c r="AN23" i="39"/>
  <c r="AN44" i="39"/>
  <c r="AN22" i="39"/>
  <c r="AM42" i="39"/>
  <c r="AM34" i="39"/>
  <c r="AM26" i="39"/>
  <c r="AM18" i="39"/>
  <c r="C48" i="42"/>
  <c r="AM40" i="39"/>
  <c r="AM32" i="39"/>
  <c r="AM24" i="39"/>
  <c r="AM16" i="39"/>
  <c r="AM46" i="39"/>
  <c r="AM38" i="39"/>
  <c r="AM45" i="39"/>
  <c r="AM37" i="39"/>
  <c r="C48" i="34"/>
  <c r="H48" i="34" s="1"/>
  <c r="AM43" i="39"/>
  <c r="AM29" i="39"/>
  <c r="AM19" i="39"/>
  <c r="AM41" i="39"/>
  <c r="AM28" i="39"/>
  <c r="AM17" i="39"/>
  <c r="AM22" i="39"/>
  <c r="AM39" i="39"/>
  <c r="AM27" i="39"/>
  <c r="AM14" i="39"/>
  <c r="AM30" i="39"/>
  <c r="AM36" i="39"/>
  <c r="AM25" i="39"/>
  <c r="AM33" i="39"/>
  <c r="AM20" i="39"/>
  <c r="AM35" i="39"/>
  <c r="AM23" i="39"/>
  <c r="AM15" i="39"/>
  <c r="AM44" i="39"/>
  <c r="AM31" i="39"/>
  <c r="AM21" i="39"/>
  <c r="AN3" i="31" l="1"/>
  <c r="AN2" i="31"/>
  <c r="AY18" i="39"/>
  <c r="K78" i="17"/>
  <c r="K74" i="17"/>
  <c r="K68" i="17"/>
  <c r="K54" i="17"/>
  <c r="K90" i="17"/>
  <c r="K86" i="17"/>
  <c r="K82" i="17"/>
  <c r="K67" i="17"/>
  <c r="K60" i="17"/>
  <c r="K53" i="17"/>
  <c r="K50" i="17"/>
  <c r="S50" i="17" s="1"/>
  <c r="K73" i="17"/>
  <c r="K66" i="17"/>
  <c r="K59" i="17"/>
  <c r="K52" i="17"/>
  <c r="K49" i="17"/>
  <c r="K89" i="17"/>
  <c r="K85" i="17"/>
  <c r="K81" i="17"/>
  <c r="K77" i="17"/>
  <c r="K72" i="17"/>
  <c r="K65" i="17"/>
  <c r="K58" i="17"/>
  <c r="K51" i="17"/>
  <c r="K88" i="17"/>
  <c r="K84" i="17"/>
  <c r="K80" i="17"/>
  <c r="S80" i="17" s="1"/>
  <c r="K63" i="17"/>
  <c r="K56" i="17"/>
  <c r="AS15" i="31"/>
  <c r="K71" i="17"/>
  <c r="K55" i="17"/>
  <c r="S55" i="17" s="1"/>
  <c r="K83" i="17"/>
  <c r="K70" i="17"/>
  <c r="S70" i="17" s="1"/>
  <c r="K48" i="17"/>
  <c r="K69" i="17"/>
  <c r="K79" i="17"/>
  <c r="K64" i="17"/>
  <c r="K62" i="17"/>
  <c r="K87" i="17"/>
  <c r="K76" i="17"/>
  <c r="K61" i="17"/>
  <c r="K57" i="17"/>
  <c r="K75" i="17"/>
  <c r="BR15" i="31"/>
  <c r="M79" i="42"/>
  <c r="M87" i="42"/>
  <c r="M62" i="42"/>
  <c r="M71" i="42"/>
  <c r="M84" i="42"/>
  <c r="M89" i="42"/>
  <c r="M52" i="42"/>
  <c r="M55" i="42"/>
  <c r="P55" i="42" s="1"/>
  <c r="M80" i="42"/>
  <c r="P80" i="42" s="1"/>
  <c r="M74" i="42"/>
  <c r="M85" i="42"/>
  <c r="M78" i="42"/>
  <c r="M72" i="42"/>
  <c r="H48" i="42"/>
  <c r="M48" i="42"/>
  <c r="M86" i="42"/>
  <c r="M90" i="42"/>
  <c r="M76" i="42"/>
  <c r="M88" i="42"/>
  <c r="M66" i="42"/>
  <c r="M77" i="42"/>
  <c r="M64" i="42"/>
  <c r="M73" i="42"/>
  <c r="M51" i="42"/>
  <c r="M82" i="42"/>
  <c r="M53" i="42"/>
  <c r="M63" i="42"/>
  <c r="M81" i="42"/>
  <c r="M83" i="42"/>
  <c r="M57" i="42"/>
  <c r="M50" i="42"/>
  <c r="P50" i="42" s="1"/>
  <c r="M56" i="42"/>
  <c r="M59" i="42"/>
  <c r="M68" i="42"/>
  <c r="M69" i="42"/>
  <c r="M58" i="42"/>
  <c r="M60" i="42"/>
  <c r="P60" i="42" s="1"/>
  <c r="M67" i="42"/>
  <c r="C5" i="42"/>
  <c r="C2" i="42" s="1"/>
  <c r="M49" i="42"/>
  <c r="M54" i="42"/>
  <c r="M65" i="42"/>
  <c r="M61" i="42"/>
  <c r="M75" i="42"/>
  <c r="M70" i="42"/>
  <c r="P70" i="42" s="1"/>
  <c r="J15" i="31"/>
  <c r="P27" i="31" s="1"/>
  <c r="C5" i="19"/>
  <c r="C2" i="19" s="1"/>
  <c r="M78" i="19"/>
  <c r="M74" i="19"/>
  <c r="M59" i="19"/>
  <c r="M52" i="19"/>
  <c r="M85" i="19"/>
  <c r="M77" i="19"/>
  <c r="M70" i="19"/>
  <c r="P70" i="19" s="1"/>
  <c r="M55" i="19"/>
  <c r="P55" i="19" s="1"/>
  <c r="M51" i="19"/>
  <c r="M73" i="19"/>
  <c r="M65" i="19"/>
  <c r="M61" i="19"/>
  <c r="M58" i="19"/>
  <c r="M54" i="19"/>
  <c r="M81" i="19"/>
  <c r="M50" i="19"/>
  <c r="P50" i="19" s="1"/>
  <c r="M69" i="19"/>
  <c r="M57" i="19"/>
  <c r="M82" i="19"/>
  <c r="M89" i="19"/>
  <c r="M80" i="19"/>
  <c r="P80" i="19" s="1"/>
  <c r="M76" i="19"/>
  <c r="M72" i="19"/>
  <c r="M87" i="19"/>
  <c r="M48" i="19"/>
  <c r="M68" i="19"/>
  <c r="M86" i="19"/>
  <c r="M67" i="19"/>
  <c r="M84" i="19"/>
  <c r="M66" i="19"/>
  <c r="M56" i="19"/>
  <c r="M88" i="19"/>
  <c r="M62" i="19"/>
  <c r="M75" i="19"/>
  <c r="M64" i="19"/>
  <c r="M63" i="19"/>
  <c r="M53" i="19"/>
  <c r="M49" i="19"/>
  <c r="M71" i="19"/>
  <c r="M60" i="19"/>
  <c r="P60" i="19" s="1"/>
  <c r="M90" i="19"/>
  <c r="M79" i="19"/>
  <c r="M83" i="19"/>
  <c r="AZ17" i="39"/>
  <c r="AX19" i="39"/>
  <c r="M70" i="34"/>
  <c r="M80" i="34"/>
  <c r="M60" i="34"/>
  <c r="M55" i="34"/>
  <c r="C5" i="34"/>
  <c r="C2" i="34" s="1"/>
  <c r="M50" i="34"/>
  <c r="M49" i="34"/>
  <c r="M79" i="34"/>
  <c r="M75" i="34"/>
  <c r="M71" i="34"/>
  <c r="M66" i="34"/>
  <c r="M62" i="34"/>
  <c r="M57" i="34"/>
  <c r="M52" i="34"/>
  <c r="M87" i="34"/>
  <c r="M88" i="34"/>
  <c r="M81" i="34"/>
  <c r="M78" i="34"/>
  <c r="M74" i="34"/>
  <c r="M69" i="34"/>
  <c r="M65" i="34"/>
  <c r="M61" i="34"/>
  <c r="M56" i="34"/>
  <c r="M51" i="34"/>
  <c r="M86" i="34"/>
  <c r="T15" i="31"/>
  <c r="Z27" i="31" s="1"/>
  <c r="M82" i="34"/>
  <c r="M90" i="34"/>
  <c r="M89" i="34"/>
  <c r="M63" i="34"/>
  <c r="M85" i="34"/>
  <c r="M83" i="34"/>
  <c r="M73" i="34"/>
  <c r="M67" i="34"/>
  <c r="M72" i="34"/>
  <c r="M59" i="34"/>
  <c r="M54" i="34"/>
  <c r="M58" i="34"/>
  <c r="M48" i="34"/>
  <c r="M84" i="34"/>
  <c r="M68" i="34"/>
  <c r="M77" i="34"/>
  <c r="M53" i="34"/>
  <c r="M76" i="34"/>
  <c r="M64" i="34"/>
  <c r="AD15" i="31"/>
  <c r="AJ27" i="31" s="1"/>
  <c r="C5" i="18"/>
  <c r="C2" i="18" s="1"/>
  <c r="H48" i="18"/>
  <c r="K60" i="18" s="1"/>
  <c r="O12" i="29" s="1"/>
  <c r="M79" i="18"/>
  <c r="M75" i="18"/>
  <c r="M71" i="18"/>
  <c r="M67" i="18"/>
  <c r="M63" i="18"/>
  <c r="M56" i="18"/>
  <c r="M52" i="18"/>
  <c r="M83" i="18"/>
  <c r="M78" i="18"/>
  <c r="M85" i="18"/>
  <c r="M88" i="18"/>
  <c r="M74" i="18"/>
  <c r="M70" i="18"/>
  <c r="P70" i="18" s="1"/>
  <c r="M62" i="18"/>
  <c r="M59" i="18"/>
  <c r="M51" i="18"/>
  <c r="M87" i="18"/>
  <c r="M66" i="18"/>
  <c r="M58" i="18"/>
  <c r="M55" i="18"/>
  <c r="P55" i="18" s="1"/>
  <c r="M90" i="18"/>
  <c r="M48" i="18"/>
  <c r="M80" i="18"/>
  <c r="P80" i="18" s="1"/>
  <c r="M76" i="18"/>
  <c r="M69" i="18"/>
  <c r="M65" i="18"/>
  <c r="M54" i="18"/>
  <c r="M86" i="18"/>
  <c r="M77" i="18"/>
  <c r="M68" i="18"/>
  <c r="M57" i="18"/>
  <c r="M89" i="18"/>
  <c r="M81" i="18"/>
  <c r="M49" i="18"/>
  <c r="M73" i="18"/>
  <c r="M64" i="18"/>
  <c r="M53" i="18"/>
  <c r="M72" i="18"/>
  <c r="M61" i="18"/>
  <c r="M84" i="18"/>
  <c r="M60" i="18"/>
  <c r="P60" i="18" s="1"/>
  <c r="M50" i="18"/>
  <c r="P50" i="18" s="1"/>
  <c r="M82" i="18"/>
  <c r="S60" i="17" l="1"/>
  <c r="O13" i="29"/>
  <c r="BC15" i="31"/>
  <c r="ET15" i="31"/>
  <c r="AY19" i="39"/>
  <c r="K73" i="18"/>
  <c r="K66" i="18"/>
  <c r="K59" i="18"/>
  <c r="K52" i="18"/>
  <c r="K49" i="18"/>
  <c r="K88" i="18"/>
  <c r="K84" i="18"/>
  <c r="K80" i="18"/>
  <c r="S80" i="18" s="1"/>
  <c r="K71" i="18"/>
  <c r="K64" i="18"/>
  <c r="K57" i="18"/>
  <c r="AI15" i="31"/>
  <c r="ES15" i="31" s="1"/>
  <c r="K81" i="18"/>
  <c r="K76" i="18"/>
  <c r="K63" i="18"/>
  <c r="K56" i="18"/>
  <c r="K48" i="18"/>
  <c r="K83" i="18"/>
  <c r="K70" i="18"/>
  <c r="S70" i="18" s="1"/>
  <c r="K62" i="18"/>
  <c r="K87" i="18"/>
  <c r="K79" i="18"/>
  <c r="K75" i="18"/>
  <c r="K69" i="18"/>
  <c r="K61" i="18"/>
  <c r="K55" i="18"/>
  <c r="S55" i="18" s="1"/>
  <c r="K90" i="18"/>
  <c r="K67" i="18"/>
  <c r="K50" i="18"/>
  <c r="S50" i="18" s="1"/>
  <c r="K78" i="18"/>
  <c r="K65" i="18"/>
  <c r="K89" i="18"/>
  <c r="K77" i="18"/>
  <c r="S60" i="18"/>
  <c r="K86" i="18"/>
  <c r="K74" i="18"/>
  <c r="K58" i="18"/>
  <c r="K85" i="18"/>
  <c r="K54" i="18"/>
  <c r="K72" i="18"/>
  <c r="K53" i="18"/>
  <c r="K82" i="18"/>
  <c r="K68" i="18"/>
  <c r="K51" i="18"/>
  <c r="P55" i="34"/>
  <c r="P60" i="34"/>
  <c r="K54" i="42"/>
  <c r="K77" i="42"/>
  <c r="K75" i="42"/>
  <c r="K56" i="42"/>
  <c r="K51" i="42"/>
  <c r="K50" i="42"/>
  <c r="S50" i="42" s="1"/>
  <c r="BW15" i="31"/>
  <c r="EU15" i="31" s="1"/>
  <c r="K89" i="42"/>
  <c r="K80" i="42"/>
  <c r="S80" i="42" s="1"/>
  <c r="K71" i="42"/>
  <c r="K48" i="42"/>
  <c r="K87" i="42"/>
  <c r="K76" i="42"/>
  <c r="K69" i="42"/>
  <c r="K53" i="42"/>
  <c r="K68" i="42"/>
  <c r="K58" i="42"/>
  <c r="K49" i="42"/>
  <c r="K90" i="42"/>
  <c r="K63" i="42"/>
  <c r="K57" i="42"/>
  <c r="K86" i="42"/>
  <c r="K59" i="42"/>
  <c r="K84" i="42"/>
  <c r="K85" i="42"/>
  <c r="K60" i="42"/>
  <c r="S60" i="42" s="1"/>
  <c r="K55" i="42"/>
  <c r="S55" i="42" s="1"/>
  <c r="K81" i="42"/>
  <c r="K78" i="42"/>
  <c r="K73" i="42"/>
  <c r="K66" i="42"/>
  <c r="K74" i="42"/>
  <c r="K52" i="42"/>
  <c r="K64" i="42"/>
  <c r="K88" i="42"/>
  <c r="K67" i="42"/>
  <c r="K65" i="42"/>
  <c r="K70" i="42"/>
  <c r="S70" i="42" s="1"/>
  <c r="K61" i="42"/>
  <c r="K79" i="42"/>
  <c r="K62" i="42"/>
  <c r="K83" i="42"/>
  <c r="K72" i="42"/>
  <c r="K82" i="42"/>
  <c r="K60" i="34"/>
  <c r="O10" i="29" s="1"/>
  <c r="K55" i="34"/>
  <c r="K70" i="34"/>
  <c r="K50" i="34"/>
  <c r="K80" i="34"/>
  <c r="K81" i="34"/>
  <c r="K83" i="34"/>
  <c r="K78" i="34"/>
  <c r="K74" i="34"/>
  <c r="K69" i="34"/>
  <c r="K65" i="34"/>
  <c r="K61" i="34"/>
  <c r="K56" i="34"/>
  <c r="K51" i="34"/>
  <c r="K84" i="34"/>
  <c r="K90" i="34"/>
  <c r="K82" i="34"/>
  <c r="K77" i="34"/>
  <c r="K73" i="34"/>
  <c r="K68" i="34"/>
  <c r="K64" i="34"/>
  <c r="K59" i="34"/>
  <c r="K54" i="34"/>
  <c r="K89" i="34"/>
  <c r="Y15" i="31"/>
  <c r="EQ15" i="31" s="1"/>
  <c r="K72" i="34"/>
  <c r="K88" i="34"/>
  <c r="K71" i="34"/>
  <c r="K58" i="34"/>
  <c r="K57" i="34"/>
  <c r="K49" i="34"/>
  <c r="K79" i="34"/>
  <c r="K67" i="34"/>
  <c r="K85" i="34"/>
  <c r="K48" i="34"/>
  <c r="K66" i="34"/>
  <c r="K53" i="34"/>
  <c r="K76" i="34"/>
  <c r="K52" i="34"/>
  <c r="K86" i="34"/>
  <c r="K75" i="34"/>
  <c r="K63" i="34"/>
  <c r="K62" i="34"/>
  <c r="K87" i="34"/>
  <c r="P80" i="34"/>
  <c r="BR3" i="31"/>
  <c r="BR2" i="31"/>
  <c r="AZ18" i="39"/>
  <c r="AD3" i="31"/>
  <c r="AD2" i="31"/>
  <c r="P70" i="34"/>
  <c r="P50" i="34"/>
  <c r="AX20" i="39"/>
  <c r="AW1" i="39"/>
  <c r="O15" i="31"/>
  <c r="ER15" i="31" s="1"/>
  <c r="K74" i="19"/>
  <c r="K80" i="19"/>
  <c r="S80" i="19" s="1"/>
  <c r="K79" i="19"/>
  <c r="K72" i="19"/>
  <c r="K68" i="19"/>
  <c r="K64" i="19"/>
  <c r="K60" i="19"/>
  <c r="K90" i="19"/>
  <c r="K67" i="19"/>
  <c r="K83" i="19"/>
  <c r="K59" i="19"/>
  <c r="K52" i="19"/>
  <c r="K49" i="19"/>
  <c r="K78" i="19"/>
  <c r="K71" i="19"/>
  <c r="K87" i="19"/>
  <c r="K62" i="19"/>
  <c r="K58" i="19"/>
  <c r="K51" i="19"/>
  <c r="K77" i="19"/>
  <c r="K86" i="19"/>
  <c r="K82" i="19"/>
  <c r="K57" i="19"/>
  <c r="K76" i="19"/>
  <c r="K70" i="19"/>
  <c r="S70" i="19" s="1"/>
  <c r="K66" i="19"/>
  <c r="K63" i="19"/>
  <c r="K56" i="19"/>
  <c r="K50" i="19"/>
  <c r="S50" i="19" s="1"/>
  <c r="K75" i="19"/>
  <c r="K89" i="19"/>
  <c r="K85" i="19"/>
  <c r="K81" i="19"/>
  <c r="K69" i="19"/>
  <c r="K65" i="19"/>
  <c r="K61" i="19"/>
  <c r="K55" i="19"/>
  <c r="S55" i="19" s="1"/>
  <c r="K48" i="19"/>
  <c r="K73" i="19"/>
  <c r="K88" i="19"/>
  <c r="K84" i="19"/>
  <c r="K54" i="19"/>
  <c r="K53" i="19"/>
  <c r="S60" i="19" l="1"/>
  <c r="O11" i="29"/>
  <c r="EW45" i="31"/>
  <c r="EW37" i="31"/>
  <c r="EW29" i="31"/>
  <c r="EW21" i="31"/>
  <c r="EW38" i="31"/>
  <c r="EW44" i="31"/>
  <c r="EW36" i="31"/>
  <c r="EW28" i="31"/>
  <c r="EW20" i="31"/>
  <c r="EW30" i="31"/>
  <c r="EW43" i="31"/>
  <c r="EW35" i="31"/>
  <c r="EW27" i="31"/>
  <c r="EY27" i="31" s="1"/>
  <c r="EW19" i="31"/>
  <c r="EW42" i="31"/>
  <c r="EW34" i="31"/>
  <c r="EW26" i="31"/>
  <c r="EW18" i="31"/>
  <c r="EW22" i="31"/>
  <c r="EY22" i="31" s="1"/>
  <c r="EW41" i="31"/>
  <c r="EW33" i="31"/>
  <c r="EW25" i="31"/>
  <c r="EW17" i="31"/>
  <c r="EW15" i="31"/>
  <c r="EW40" i="31"/>
  <c r="EW32" i="31"/>
  <c r="EY32" i="31" s="1"/>
  <c r="EW24" i="31"/>
  <c r="EW16" i="31"/>
  <c r="EW47" i="31"/>
  <c r="EW39" i="31"/>
  <c r="EW31" i="31"/>
  <c r="EW23" i="31"/>
  <c r="EW46" i="31"/>
  <c r="EV15" i="31"/>
  <c r="EX42" i="31" s="1"/>
  <c r="DY61" i="31"/>
  <c r="S55" i="34"/>
  <c r="S60" i="34"/>
  <c r="AX21" i="39"/>
  <c r="AY20" i="39"/>
  <c r="S80" i="34"/>
  <c r="S50" i="34"/>
  <c r="AZ19" i="39"/>
  <c r="S70" i="34"/>
  <c r="EX20" i="31" l="1"/>
  <c r="EX28" i="31"/>
  <c r="EX21" i="31"/>
  <c r="EX29" i="31"/>
  <c r="EX45" i="31"/>
  <c r="EX31" i="31"/>
  <c r="EX39" i="31"/>
  <c r="EX47" i="31"/>
  <c r="EX36" i="31"/>
  <c r="EX44" i="31"/>
  <c r="EX32" i="31"/>
  <c r="EZ32" i="31" s="1"/>
  <c r="EX16" i="31"/>
  <c r="EX15" i="31"/>
  <c r="EX46" i="31"/>
  <c r="EX23" i="31"/>
  <c r="EX25" i="31"/>
  <c r="EX18" i="31"/>
  <c r="EX26" i="31"/>
  <c r="EX24" i="31"/>
  <c r="EX17" i="31"/>
  <c r="EZ17" i="31" s="1"/>
  <c r="EX34" i="31"/>
  <c r="EX30" i="31"/>
  <c r="EX22" i="31"/>
  <c r="EZ22" i="31" s="1"/>
  <c r="EX33" i="31"/>
  <c r="EX19" i="31"/>
  <c r="EX41" i="31"/>
  <c r="EX43" i="31"/>
  <c r="EX37" i="31"/>
  <c r="EX40" i="31"/>
  <c r="EX38" i="31"/>
  <c r="EX27" i="31"/>
  <c r="EZ27" i="31" s="1"/>
  <c r="EX35" i="31"/>
  <c r="EW12" i="31"/>
  <c r="AZ20" i="39"/>
  <c r="AX22" i="39"/>
  <c r="AY21" i="39"/>
  <c r="AX1" i="39"/>
  <c r="AY22" i="39" l="1"/>
  <c r="P13" i="44"/>
  <c r="AZ21" i="39"/>
  <c r="AY1" i="39"/>
  <c r="AX23" i="39"/>
  <c r="AZ22" i="39" l="1"/>
  <c r="AY23" i="39"/>
  <c r="AZ1" i="39"/>
  <c r="AX24" i="39"/>
  <c r="Q4" i="44"/>
  <c r="R4" i="44" l="1"/>
  <c r="P15" i="44" s="1"/>
  <c r="AW2" i="39"/>
  <c r="AX25" i="39"/>
  <c r="AY24" i="39"/>
  <c r="AZ23" i="39"/>
  <c r="P14" i="44"/>
  <c r="AW7" i="39" l="1"/>
  <c r="AX26" i="39"/>
  <c r="AX2" i="39" s="1"/>
  <c r="AY25" i="39"/>
  <c r="S4" i="44"/>
  <c r="P16" i="44" s="1"/>
  <c r="P18" i="44" s="1"/>
  <c r="AZ24" i="39"/>
  <c r="T4" i="44" l="1"/>
  <c r="AX27" i="39"/>
  <c r="P5" i="44"/>
  <c r="K6" i="44"/>
  <c r="P6" i="44" s="1"/>
  <c r="AY26" i="39"/>
  <c r="AX7" i="39"/>
  <c r="AZ25" i="39"/>
  <c r="U4" i="44" l="1"/>
  <c r="AY7" i="39"/>
  <c r="AZ26" i="39"/>
  <c r="AY2" i="39"/>
  <c r="Q13" i="44"/>
  <c r="AX28" i="39"/>
  <c r="AY27" i="39"/>
  <c r="Q5" i="44"/>
  <c r="Q14" i="44" s="1"/>
  <c r="R14" i="44" s="1"/>
  <c r="L6" i="44"/>
  <c r="Q6" i="44" s="1"/>
  <c r="AZ7" i="39" l="1"/>
  <c r="AY28" i="39"/>
  <c r="AX29" i="39"/>
  <c r="R13" i="44"/>
  <c r="AZ27" i="39"/>
  <c r="AZ2" i="39"/>
  <c r="AZ28" i="39" l="1"/>
  <c r="R5" i="44"/>
  <c r="M6" i="44"/>
  <c r="R6" i="44" s="1"/>
  <c r="AY29" i="39"/>
  <c r="AW3" i="39"/>
  <c r="AX30" i="39"/>
  <c r="Q15" i="44" l="1"/>
  <c r="AZ29" i="39"/>
  <c r="S5" i="44"/>
  <c r="Q16" i="44" s="1"/>
  <c r="R16" i="44" s="1"/>
  <c r="N6" i="44"/>
  <c r="S6" i="44" s="1"/>
  <c r="T6" i="44" s="1"/>
  <c r="U6" i="44" s="1"/>
  <c r="K7" i="44"/>
  <c r="AY30" i="39"/>
  <c r="AX31" i="39"/>
  <c r="P7" i="44" l="1"/>
  <c r="K8" i="44"/>
  <c r="P8" i="44" s="1"/>
  <c r="T5" i="44"/>
  <c r="U5" i="44" s="1"/>
  <c r="H30" i="44" s="1"/>
  <c r="AY31" i="39"/>
  <c r="AX32" i="39"/>
  <c r="R15" i="44"/>
  <c r="R18" i="44" s="1"/>
  <c r="Q18" i="44"/>
  <c r="AZ30" i="39"/>
  <c r="AX3" i="39"/>
  <c r="AZ31" i="39" l="1"/>
  <c r="AY3" i="39"/>
  <c r="AY32" i="39"/>
  <c r="L7" i="44"/>
  <c r="AX33" i="39"/>
  <c r="S13" i="44"/>
  <c r="T13" i="44" s="1"/>
  <c r="AZ32" i="39" l="1"/>
  <c r="AX34" i="39"/>
  <c r="L8" i="44"/>
  <c r="Q8" i="44" s="1"/>
  <c r="Q7" i="44"/>
  <c r="AZ3" i="39"/>
  <c r="M7" i="44"/>
  <c r="AY33" i="39"/>
  <c r="AX35" i="39" l="1"/>
  <c r="R7" i="44"/>
  <c r="S15" i="44" s="1"/>
  <c r="T15" i="44" s="1"/>
  <c r="M8" i="44"/>
  <c r="R8" i="44" s="1"/>
  <c r="N7" i="44"/>
  <c r="S14" i="44"/>
  <c r="T14" i="44" s="1"/>
  <c r="AZ33" i="39"/>
  <c r="AY34" i="39"/>
  <c r="AY35" i="39" l="1"/>
  <c r="N8" i="44"/>
  <c r="S8" i="44" s="1"/>
  <c r="T8" i="44" s="1"/>
  <c r="U8" i="44" s="1"/>
  <c r="S7" i="44"/>
  <c r="S16" i="44" s="1"/>
  <c r="T16" i="44" s="1"/>
  <c r="T18" i="44" s="1"/>
  <c r="AX36" i="39"/>
  <c r="AZ34" i="39"/>
  <c r="T7" i="44" l="1"/>
  <c r="U7" i="44" s="1"/>
  <c r="F30" i="44" s="1"/>
  <c r="H21" i="44" s="1"/>
  <c r="F28" i="44" s="1"/>
  <c r="F34" i="44" s="1"/>
  <c r="AX37" i="39"/>
  <c r="AZ35" i="39"/>
  <c r="AY36" i="39"/>
  <c r="AY37" i="39" l="1"/>
  <c r="AZ36" i="39"/>
  <c r="AX38" i="39"/>
  <c r="AZ37" i="39" l="1"/>
  <c r="AX39" i="39"/>
  <c r="AY38" i="39"/>
  <c r="AY39" i="39" l="1"/>
  <c r="AX40" i="39"/>
  <c r="AZ38" i="39"/>
  <c r="AY40" i="39" l="1"/>
  <c r="AX41" i="39"/>
  <c r="AZ39" i="39"/>
  <c r="AX42" i="39" l="1"/>
  <c r="AZ40" i="39"/>
  <c r="AY41" i="39"/>
  <c r="AX43" i="39" l="1"/>
  <c r="AZ41" i="39"/>
  <c r="AY42" i="39"/>
  <c r="AX44" i="39" l="1"/>
  <c r="AY43" i="39"/>
  <c r="AZ42" i="39"/>
  <c r="AX45" i="39" l="1"/>
  <c r="AY44" i="39"/>
  <c r="AZ43" i="39"/>
  <c r="AX46" i="39" l="1"/>
  <c r="AW4" i="39"/>
  <c r="AY45" i="39"/>
  <c r="AZ44" i="39"/>
  <c r="AY46" i="39" l="1"/>
  <c r="AX4" i="39"/>
  <c r="K9" i="44"/>
  <c r="AW5" i="39"/>
  <c r="AZ45" i="39"/>
  <c r="P9" i="44" l="1"/>
  <c r="K10" i="44"/>
  <c r="P10" i="44" s="1"/>
  <c r="L9" i="44"/>
  <c r="AX5" i="39"/>
  <c r="AZ46" i="39"/>
  <c r="AY4" i="39"/>
  <c r="AZ4" i="39" l="1"/>
  <c r="Q9" i="44"/>
  <c r="L10" i="44"/>
  <c r="Q10" i="44" s="1"/>
  <c r="M9" i="44"/>
  <c r="AY5" i="39"/>
  <c r="M10" i="44" l="1"/>
  <c r="R10" i="44" s="1"/>
  <c r="R9" i="44"/>
  <c r="N9" i="44"/>
  <c r="AZ5" i="39"/>
  <c r="S9" i="44" l="1"/>
  <c r="T9" i="44" s="1"/>
  <c r="U9" i="44" s="1"/>
  <c r="N10" i="44"/>
  <c r="S10" i="44" s="1"/>
  <c r="T10" i="44" s="1"/>
  <c r="U10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Reviewer Comment</author>
  </authors>
  <commentList>
    <comment ref="A11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Reviewer Comment:</t>
        </r>
        <r>
          <rPr>
            <sz val="9"/>
            <color indexed="81"/>
            <rFont val="Tahoma"/>
            <family val="2"/>
          </rPr>
          <t xml:space="preserve">
No revision in value in AR4, thia is SAR value
</t>
        </r>
      </text>
    </comment>
  </commentList>
</comments>
</file>

<file path=xl/sharedStrings.xml><?xml version="1.0" encoding="utf-8"?>
<sst xmlns="http://schemas.openxmlformats.org/spreadsheetml/2006/main" count="5318" uniqueCount="358">
  <si>
    <t>Summary</t>
  </si>
  <si>
    <t>Year</t>
  </si>
  <si>
    <t>CO2</t>
  </si>
  <si>
    <t>CH4</t>
  </si>
  <si>
    <t>N2O</t>
  </si>
  <si>
    <t>Mt</t>
  </si>
  <si>
    <t>GWP100</t>
  </si>
  <si>
    <t>GWP100 AR5</t>
  </si>
  <si>
    <t>Total GWP100</t>
  </si>
  <si>
    <t>Total GWP*</t>
  </si>
  <si>
    <t>Gwp100</t>
  </si>
  <si>
    <t>TABLE 10  EMISSION TRENDS</t>
  </si>
  <si>
    <t>Inventory 2019</t>
  </si>
  <si>
    <r>
      <t>GHG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 emissions</t>
    </r>
  </si>
  <si>
    <t>Submission 2021 v1</t>
  </si>
  <si>
    <t>(Sheet 1 of 6)</t>
  </si>
  <si>
    <t>IRELAND</t>
  </si>
  <si>
    <t>GREENHOUSE GAS SOURCE AND SINK CATEGORIES</t>
  </si>
  <si>
    <r>
      <t>Base year</t>
    </r>
    <r>
      <rPr>
        <b/>
        <vertAlign val="superscript"/>
        <sz val="9"/>
        <rFont val="Times New Roman"/>
        <family val="1"/>
      </rPr>
      <t>(1)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</si>
  <si>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</si>
  <si>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</si>
  <si>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</si>
  <si>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</si>
  <si>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</si>
  <si>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</si>
  <si>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</si>
  <si>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</si>
  <si>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</si>
  <si>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</si>
  <si>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</si>
  <si>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</si>
  <si>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</si>
  <si>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</si>
  <si>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</si>
  <si>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</si>
  <si>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</si>
  <si>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</si>
  <si>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</si>
  <si>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</si>
  <si>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</si>
  <si>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</si>
  <si>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</si>
  <si>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</si>
  <si>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</si>
  <si>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</si>
  <si>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</si>
  <si>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</si>
  <si>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</si>
  <si>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</si>
  <si>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Change from base to latest reported year</t>
  </si>
  <si>
    <r>
      <t>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eq)</t>
    </r>
  </si>
  <si>
    <t>%</t>
  </si>
  <si>
    <r>
      <t>Total (net emissions)</t>
    </r>
    <r>
      <rPr>
        <b/>
        <vertAlign val="superscript"/>
        <sz val="9"/>
        <rFont val="Times New Roman"/>
        <family val="1"/>
      </rPr>
      <t>(2)</t>
    </r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</si>
  <si>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</si>
  <si>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</si>
  <si>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</si>
  <si>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</si>
  <si>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</si>
  <si>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</si>
  <si>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</si>
  <si>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IE</t>
  </si>
  <si>
    <t>B. Fugitive emissions from fuels</t>
  </si>
  <si>
    <t>1.  Solid fuels</t>
  </si>
  <si>
    <t>2.  Oil and natural gas and other emissions from energy production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</si>
  <si>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 and storage</t>
    </r>
  </si>
  <si>
    <t>NO</t>
  </si>
  <si>
    <t>2.  Industrial Processes</t>
  </si>
  <si>
    <t>A.  Mineral industry</t>
  </si>
  <si>
    <t>B.  Chemical industry</t>
  </si>
  <si>
    <t/>
  </si>
  <si>
    <t>C.  Metal industry</t>
  </si>
  <si>
    <t>D.  Non-energy products from fuels and solvent use</t>
  </si>
  <si>
    <t>E.  Electronic industry</t>
  </si>
  <si>
    <r>
      <t>F.  Product uses as ODS substitutes</t>
    </r>
    <r>
      <rPr>
        <strike/>
        <sz val="9"/>
        <color indexed="8"/>
        <rFont val="Times New Roman"/>
        <family val="1"/>
      </rPr>
      <t/>
    </r>
  </si>
  <si>
    <r>
      <t xml:space="preserve">G.  Other product manufacture and use </t>
    </r>
    <r>
      <rPr>
        <sz val="11"/>
        <color theme="1"/>
        <rFont val="Calibri"/>
        <family val="2"/>
        <scheme val="minor"/>
      </rPr>
      <t/>
    </r>
  </si>
  <si>
    <t xml:space="preserve">H.  Other </t>
  </si>
  <si>
    <t>3.  Agriculture</t>
  </si>
  <si>
    <t>A.  Enteric fermentation</t>
  </si>
  <si>
    <t>B.  Manure management</t>
  </si>
  <si>
    <t>C.  Rice cultivation</t>
  </si>
  <si>
    <t>D.  Agricultural soils</t>
  </si>
  <si>
    <t>E.  Prescribed burning of savannas</t>
  </si>
  <si>
    <t>F.  Field burning of agricultural residues</t>
  </si>
  <si>
    <t>G. Liming</t>
  </si>
  <si>
    <t>H. Urea application</t>
  </si>
  <si>
    <t>I.  Other carbon-containing fertilizers</t>
  </si>
  <si>
    <t xml:space="preserve">J.  Other </t>
  </si>
  <si>
    <r>
      <t>4. Land use, land-use change and forestry</t>
    </r>
    <r>
      <rPr>
        <b/>
        <vertAlign val="superscript"/>
        <sz val="9"/>
        <rFont val="Times New Roman"/>
        <family val="1"/>
      </rPr>
      <t>(2)</t>
    </r>
  </si>
  <si>
    <t>A.  Forest land</t>
  </si>
  <si>
    <t>B.  Cropland</t>
  </si>
  <si>
    <t>C.  Grassland</t>
  </si>
  <si>
    <t>D.  Wetlands</t>
  </si>
  <si>
    <t xml:space="preserve">E.  Settlements </t>
  </si>
  <si>
    <t>F.  Other land</t>
  </si>
  <si>
    <t>G.  Harvested wood products</t>
  </si>
  <si>
    <r>
      <t>H.  Other</t>
    </r>
    <r>
      <rPr>
        <i/>
        <sz val="9"/>
        <rFont val="Times New Roman"/>
        <family val="1"/>
      </rPr>
      <t xml:space="preserve">       </t>
    </r>
  </si>
  <si>
    <t>5.  Waste</t>
  </si>
  <si>
    <r>
      <t>A.  Solid waste disposal</t>
    </r>
    <r>
      <rPr>
        <b/>
        <sz val="9"/>
        <rFont val="Times New Roman"/>
        <family val="1"/>
      </rPr>
      <t xml:space="preserve"> </t>
    </r>
  </si>
  <si>
    <t>B.  Biological treatment of solid waste</t>
  </si>
  <si>
    <t>C.  Incineration and open burning of waste</t>
  </si>
  <si>
    <t>D.  Waste water treatment and discharge</t>
  </si>
  <si>
    <r>
      <t>E.  Other</t>
    </r>
    <r>
      <rPr>
        <b/>
        <i/>
        <sz val="9"/>
        <rFont val="Times New Roman"/>
        <family val="1"/>
      </rPr>
      <t xml:space="preserve"> </t>
    </r>
  </si>
  <si>
    <r>
      <t xml:space="preserve">6.  Other </t>
    </r>
    <r>
      <rPr>
        <b/>
        <i/>
        <sz val="9"/>
        <rFont val="Times New Roman"/>
        <family val="1"/>
      </rPr>
      <t>(as specified in summary 1.A)</t>
    </r>
  </si>
  <si>
    <t>Memo items:</t>
  </si>
  <si>
    <t>International bunkers</t>
  </si>
  <si>
    <t>Aviation</t>
  </si>
  <si>
    <t>Navigation</t>
  </si>
  <si>
    <t>Multilateral operations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</si>
  <si>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</si>
  <si>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captured</t>
    </r>
  </si>
  <si>
    <t>Long-term storage of C in waste disposal sites</t>
  </si>
  <si>
    <t>NE</t>
  </si>
  <si>
    <r>
      <t>Indirect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</si>
  <si>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NO,NE</t>
  </si>
  <si>
    <t>NE,NO</t>
  </si>
  <si>
    <r>
      <t>Indirect CO</t>
    </r>
    <r>
      <rPr>
        <b/>
        <vertAlign val="subscript"/>
        <sz val="9"/>
        <rFont val="Times New Roman"/>
        <family val="1"/>
      </rPr>
      <t xml:space="preserve">2 </t>
    </r>
    <r>
      <rPr>
        <b/>
        <vertAlign val="superscript"/>
        <sz val="9"/>
        <rFont val="Times New Roman"/>
        <family val="1"/>
      </rPr>
      <t>(3)</t>
    </r>
  </si>
  <si>
    <t>NO,NE,IE</t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</si>
  <si>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</si>
  <si>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>equivalent emissions with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</si>
  <si>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CO2,  without land use, land-use change and forestry</t>
    </r>
  </si>
  <si>
    <t>NA</t>
  </si>
  <si>
    <r>
      <t>Total CO</t>
    </r>
    <r>
      <rPr>
        <b/>
        <vertAlign val="subscript"/>
        <sz val="9"/>
        <rFont val="Times New Roman"/>
        <family val="1"/>
      </rPr>
      <t xml:space="preserve">2 </t>
    </r>
    <r>
      <rPr>
        <b/>
        <sz val="9"/>
        <rFont val="Times New Roman"/>
        <family val="1"/>
      </rPr>
      <t>equivalent emissions, including indirect CO2,  with land use, land-use change and forestry</t>
    </r>
  </si>
  <si>
    <t xml:space="preserve"> </t>
  </si>
  <si>
    <r>
      <t xml:space="preserve">Note: </t>
    </r>
    <r>
      <rPr>
        <sz val="9"/>
        <rFont val="Times New Roman"/>
        <family val="1"/>
      </rPr>
      <t>All footnotes for this table are given at the end of the table on sheet 6.</t>
    </r>
  </si>
  <si>
    <r>
      <t>CO</t>
    </r>
    <r>
      <rPr>
        <b/>
        <vertAlign val="subscript"/>
        <sz val="12"/>
        <rFont val="Times New Roman"/>
        <family val="1"/>
      </rPr>
      <t>2</t>
    </r>
  </si>
  <si>
    <t>(Sheet 2 of 6)</t>
  </si>
  <si>
    <t>(kt)</t>
  </si>
  <si>
    <t>2.  Industrial processes</t>
  </si>
  <si>
    <t>G.  Liming</t>
  </si>
  <si>
    <t>H.  Urea application</t>
  </si>
  <si>
    <r>
      <t xml:space="preserve">4. Land use, land-use change and forestry </t>
    </r>
    <r>
      <rPr>
        <b/>
        <vertAlign val="superscript"/>
        <sz val="9"/>
        <rFont val="Times New Roman"/>
        <family val="1"/>
      </rPr>
      <t>(2)</t>
    </r>
  </si>
  <si>
    <t xml:space="preserve">H.  Other       </t>
  </si>
  <si>
    <t xml:space="preserve">Memo items: </t>
  </si>
  <si>
    <r>
      <t>CH</t>
    </r>
    <r>
      <rPr>
        <b/>
        <vertAlign val="subscript"/>
        <sz val="12"/>
        <rFont val="Times New Roman"/>
        <family val="1"/>
      </rPr>
      <t>4</t>
    </r>
  </si>
  <si>
    <t>(Sheet 3 of 6)</t>
  </si>
  <si>
    <t>4. Land use, land-use change and forestry</t>
  </si>
  <si>
    <t>NO,IE</t>
  </si>
  <si>
    <r>
      <t>Total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emissions without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from LULUCF</t>
    </r>
  </si>
  <si>
    <r>
      <t>Total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emissions with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from LULUCF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</si>
  <si>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</si>
  <si>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t>(Sheet 4 of 6)</t>
  </si>
  <si>
    <t>I.  Other carbon containing fertlizers</t>
  </si>
  <si>
    <r>
      <t>Total 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emissions without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from LULUCF</t>
    </r>
  </si>
  <si>
    <r>
      <t>Total 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emissions with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 from LULUCF</t>
    </r>
  </si>
  <si>
    <r>
      <t>Memo items:</t>
    </r>
    <r>
      <rPr>
        <b/>
        <vertAlign val="superscript"/>
        <sz val="9"/>
        <rFont val="Times New Roman"/>
        <family val="1"/>
      </rPr>
      <t xml:space="preserve"> </t>
    </r>
  </si>
  <si>
    <r>
      <t>HFCs, PFCs, SF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, and NF</t>
    </r>
    <r>
      <rPr>
        <b/>
        <vertAlign val="subscript"/>
        <sz val="12"/>
        <rFont val="Times New Roman"/>
        <family val="1"/>
      </rPr>
      <t>3</t>
    </r>
  </si>
  <si>
    <t>(Sheet 5 of 6)</t>
  </si>
  <si>
    <r>
      <t>Emissions of HFCs and PFCs -  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equivalent) </t>
    </r>
  </si>
  <si>
    <r>
      <t>Emissions of HFCs -  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equivalent) </t>
    </r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</si>
  <si>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</si>
  <si>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</si>
  <si>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</si>
  <si>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</si>
  <si>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</si>
  <si>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</si>
  <si>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</si>
  <si>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</si>
  <si>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</si>
  <si>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</si>
  <si>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</si>
  <si>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</si>
  <si>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</si>
  <si>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</si>
  <si>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</si>
  <si>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</si>
  <si>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</si>
  <si>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</si>
  <si>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</si>
  <si>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r>
      <t>Unspecified mix of HFCs</t>
    </r>
    <r>
      <rPr>
        <vertAlign val="superscript"/>
        <sz val="9"/>
        <rFont val="Times New Roman"/>
        <family val="1"/>
      </rPr>
      <t>(4)</t>
    </r>
    <r>
      <rPr>
        <sz val="9"/>
        <rFont val="Times New Roman"/>
        <family val="1"/>
      </rPr>
      <t xml:space="preserve"> -  (kt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equivalent) </t>
    </r>
  </si>
  <si>
    <r>
      <t>Emissions of PFCs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-  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equivalent) </t>
    </r>
  </si>
  <si>
    <r>
      <t>CF</t>
    </r>
    <r>
      <rPr>
        <vertAlign val="subscript"/>
        <sz val="9"/>
        <rFont val="Times New Roman"/>
        <family val="1"/>
      </rPr>
      <t>4</t>
    </r>
  </si>
  <si>
    <r>
      <t>C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</si>
  <si>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</si>
  <si>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10</t>
    </r>
  </si>
  <si>
    <r>
      <t>c-C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8</t>
    </r>
  </si>
  <si>
    <r>
      <t>C</t>
    </r>
    <r>
      <rPr>
        <vertAlign val="subscript"/>
        <sz val="9"/>
        <rFont val="Times New Roman"/>
        <family val="1"/>
      </rPr>
      <t>5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12</t>
    </r>
  </si>
  <si>
    <r>
      <t>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14</t>
    </r>
  </si>
  <si>
    <r>
      <t>C</t>
    </r>
    <r>
      <rPr>
        <vertAlign val="subscript"/>
        <sz val="9"/>
        <rFont val="Times New Roman"/>
        <family val="1"/>
      </rPr>
      <t>10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18</t>
    </r>
  </si>
  <si>
    <r>
      <t>c-C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>6</t>
    </r>
  </si>
  <si>
    <r>
      <t>Unspecified mix of PFCs</t>
    </r>
    <r>
      <rPr>
        <vertAlign val="superscript"/>
        <sz val="9"/>
        <rFont val="Times New Roman"/>
        <family val="1"/>
      </rPr>
      <t>(4)</t>
    </r>
    <r>
      <rPr>
        <sz val="9"/>
        <rFont val="Times New Roman"/>
        <family val="1"/>
      </rPr>
      <t xml:space="preserve"> -  (kt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equivalent) </t>
    </r>
  </si>
  <si>
    <r>
      <t>Unspecified mix of HFCs and PFCs - 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equivalent)</t>
    </r>
  </si>
  <si>
    <r>
      <t>Emissions of  SF</t>
    </r>
    <r>
      <rPr>
        <b/>
        <vertAlign val="subscript"/>
        <sz val="9"/>
        <rFont val="Times New Roman"/>
        <family val="1"/>
      </rPr>
      <t>6</t>
    </r>
    <r>
      <rPr>
        <b/>
        <sz val="9"/>
        <rFont val="Times New Roman"/>
        <family val="1"/>
      </rPr>
      <t xml:space="preserve"> -  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equivalent)</t>
    </r>
  </si>
  <si>
    <r>
      <t>SF</t>
    </r>
    <r>
      <rPr>
        <vertAlign val="subscript"/>
        <sz val="9"/>
        <rFont val="Times New Roman"/>
        <family val="1"/>
      </rPr>
      <t>6</t>
    </r>
  </si>
  <si>
    <r>
      <t>Emissions of NF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- (kt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equivalent)</t>
    </r>
  </si>
  <si>
    <r>
      <t>NF</t>
    </r>
    <r>
      <rPr>
        <vertAlign val="subscript"/>
        <sz val="9"/>
        <rFont val="Times New Roman"/>
        <family val="1"/>
      </rPr>
      <t>3</t>
    </r>
  </si>
  <si>
    <t>Other GHGs (kt CO2 eq)</t>
  </si>
  <si>
    <t>Total N2O excl LULUCF (Mt CO2eq)</t>
  </si>
  <si>
    <t>Total N2O incl LULUCF (Mt CO2eq)</t>
  </si>
  <si>
    <t>GWP 100 AR5</t>
  </si>
  <si>
    <t>Total CH4 excl LULUCF (Mt CO2eq)</t>
  </si>
  <si>
    <t>Total Ch4 incl LULUCF (Mt CO2eq)</t>
  </si>
  <si>
    <r>
      <t>Base year</t>
    </r>
    <r>
      <rPr>
        <vertAlign val="superscript"/>
        <sz val="9"/>
        <rFont val="Times New Roman"/>
        <family val="1"/>
      </rPr>
      <t>(1)</t>
    </r>
  </si>
  <si>
    <t>Total CO2 equivalent emissions without land use, land-use change and forestry</t>
  </si>
  <si>
    <t>Total CO2 equivalent emissions with land use, land-use change and forestry</t>
  </si>
  <si>
    <t>Base year(1)</t>
  </si>
  <si>
    <t>Total CH4 emissions without CH4 from LULUCF</t>
  </si>
  <si>
    <t>Total CH4 emissions with CH4 from LULUCF</t>
  </si>
  <si>
    <t>Total direct N2O emissions without N2O from LULUCF</t>
  </si>
  <si>
    <t>Other GHGs</t>
  </si>
  <si>
    <t>Check</t>
  </si>
  <si>
    <t>GWP 100 AR4</t>
  </si>
  <si>
    <t>GWP AR4</t>
  </si>
  <si>
    <t xml:space="preserve">Emissions of HFCs and PFCs -  (kt CO2 equivalent) </t>
  </si>
  <si>
    <t>Emissions of  SF6 -  (kt CO2 equivalent)</t>
  </si>
  <si>
    <t>Emissions of NF3 - (kt CO2 equivalent)</t>
  </si>
  <si>
    <t>Total GHG AR5 GWP100 excl LULUCF</t>
  </si>
  <si>
    <t>Total GHG AR5 GWP100 incl LULUCF</t>
  </si>
  <si>
    <t>% reduction GWP100</t>
  </si>
  <si>
    <t>Target Emission reduction in 2030</t>
  </si>
  <si>
    <t>% reduction in CO2</t>
  </si>
  <si>
    <t>% reduction in CH4</t>
  </si>
  <si>
    <t>% reduction in N2O</t>
  </si>
  <si>
    <t>r</t>
  </si>
  <si>
    <t>s</t>
  </si>
  <si>
    <t>H</t>
  </si>
  <si>
    <t>GWP 100 CH4</t>
  </si>
  <si>
    <t>AR4</t>
  </si>
  <si>
    <t>AR5</t>
  </si>
  <si>
    <t>Dt</t>
  </si>
  <si>
    <t>rxH/Dt</t>
  </si>
  <si>
    <t>CH4 2019</t>
  </si>
  <si>
    <t>CH4 1999</t>
  </si>
  <si>
    <t>Hard arithmetic</t>
  </si>
  <si>
    <t>Simple arithmetic</t>
  </si>
  <si>
    <t>Coeff E(t=t-20)</t>
  </si>
  <si>
    <t>Coeff E(t=t)</t>
  </si>
  <si>
    <t>2026-2030</t>
  </si>
  <si>
    <t>2021-2025</t>
  </si>
  <si>
    <t>2031-2035</t>
  </si>
  <si>
    <t>2036-2050</t>
  </si>
  <si>
    <t>% Emissions reduction in 2030</t>
  </si>
  <si>
    <t>2021-2030</t>
  </si>
  <si>
    <t>2021-2035</t>
  </si>
  <si>
    <t>% total excl LULUCF</t>
  </si>
  <si>
    <t>%total incl LULUCF</t>
  </si>
  <si>
    <t>% rel 1990</t>
  </si>
  <si>
    <t>Biogenic</t>
  </si>
  <si>
    <t>Negative Emissions</t>
  </si>
  <si>
    <t>Cummulative Residual Negative Emissions</t>
  </si>
  <si>
    <t>Residual Negative Emissions</t>
  </si>
  <si>
    <t>Cummulative Negative Emissions</t>
  </si>
  <si>
    <t>F-Gases</t>
  </si>
  <si>
    <t>Total (excl LULUCF and F-gases)</t>
  </si>
  <si>
    <t>Total (incl LULUCF and F-gases)</t>
  </si>
  <si>
    <t>CO2 (incl F-gases)</t>
  </si>
  <si>
    <t>Energy</t>
  </si>
  <si>
    <t>Inputs</t>
  </si>
  <si>
    <t>2031-2050</t>
  </si>
  <si>
    <t>Residual Nitrous Oxide offset by removals?</t>
  </si>
  <si>
    <t>Yes</t>
  </si>
  <si>
    <t>Residual Methane offset by removals?</t>
  </si>
  <si>
    <t>No</t>
  </si>
  <si>
    <t>N20</t>
  </si>
  <si>
    <t>CB1</t>
  </si>
  <si>
    <t>CB2</t>
  </si>
  <si>
    <t>CB3</t>
  </si>
  <si>
    <t>Total 2021-2050</t>
  </si>
  <si>
    <t>Total 2021-2035</t>
  </si>
  <si>
    <t>Total 2021-2030</t>
  </si>
  <si>
    <t>Total 2050</t>
  </si>
  <si>
    <t>E51%-A51%</t>
  </si>
  <si>
    <t>E57%-A40%</t>
  </si>
  <si>
    <t>E61%-A33%</t>
  </si>
  <si>
    <t>E65%-A25%</t>
  </si>
  <si>
    <t>No offsetting of CH4 or N2O</t>
  </si>
  <si>
    <t>Methane</t>
  </si>
  <si>
    <t>GWP100 CH4</t>
  </si>
  <si>
    <t>Removals</t>
  </si>
  <si>
    <t>2020-2050</t>
  </si>
  <si>
    <t xml:space="preserve">Removals to balance N2O </t>
  </si>
  <si>
    <t>Cumulative removals to balance N2O</t>
  </si>
  <si>
    <t>WAM</t>
  </si>
  <si>
    <t>E51A51</t>
  </si>
  <si>
    <t>E57A40</t>
  </si>
  <si>
    <t>E61A33</t>
  </si>
  <si>
    <t>E65A25</t>
  </si>
  <si>
    <t>Inventory</t>
  </si>
  <si>
    <t>Annual linear increment</t>
  </si>
  <si>
    <t>2030 Target</t>
  </si>
  <si>
    <t>LULUCF</t>
  </si>
  <si>
    <t xml:space="preserve">TIM, Fgases and LULUCF </t>
  </si>
  <si>
    <t>Scale for consistency with Inventory</t>
  </si>
  <si>
    <t>correction to TIM</t>
  </si>
  <si>
    <t>Added F-gases and LULUCF</t>
  </si>
  <si>
    <t>Fgases</t>
  </si>
  <si>
    <t>Temperature impact of removals (to balance N2O)</t>
  </si>
  <si>
    <t>All GHG (GWP100 AR5)</t>
  </si>
  <si>
    <t>Total excluding LULUCF</t>
  </si>
  <si>
    <t>Total including LULUCF</t>
  </si>
  <si>
    <t xml:space="preserve">    4. Land Use, Land-Use Change and Forestry (LULUCF, reported emissions and removals) (9)</t>
  </si>
  <si>
    <t>Carbon Dioxide</t>
  </si>
  <si>
    <t>CH4 (GWP100 AR5)</t>
  </si>
  <si>
    <t>N2O (GOW100 AR5)</t>
  </si>
  <si>
    <t>Other Gases</t>
  </si>
  <si>
    <t>CO2+LULUCF+Other gases</t>
  </si>
  <si>
    <t>LULUCF+Other gases</t>
  </si>
  <si>
    <t>N2O Balance only</t>
  </si>
  <si>
    <t>E69%-A19%</t>
  </si>
  <si>
    <t>Gas</t>
  </si>
  <si>
    <t>Nitrous Oxide</t>
  </si>
  <si>
    <t>Scenario 1: E51-A51</t>
  </si>
  <si>
    <t>Scenario 2: E57-A40</t>
  </si>
  <si>
    <t>Scenario 3: E61-A33</t>
  </si>
  <si>
    <t>Scenario 4: E65-A25</t>
  </si>
  <si>
    <t>Scenario 5: E69-A19</t>
  </si>
  <si>
    <t>Scaling</t>
  </si>
  <si>
    <t>TIM staring point</t>
  </si>
  <si>
    <t>Average</t>
  </si>
  <si>
    <t>E65%-A26%</t>
  </si>
  <si>
    <t>2031-2025</t>
  </si>
  <si>
    <t>GHG excl LULUCF</t>
  </si>
  <si>
    <t>All gases</t>
  </si>
  <si>
    <t>2031- 2035</t>
  </si>
  <si>
    <t>Carbon Budget</t>
  </si>
  <si>
    <r>
      <t>(Mt CO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eq)</t>
    </r>
  </si>
  <si>
    <t>Carbon Budgets excluding LULUCF</t>
  </si>
  <si>
    <t>LULUCF provision</t>
  </si>
  <si>
    <t>CO2 LULUCF</t>
  </si>
  <si>
    <t>CH4 LULUCF</t>
  </si>
  <si>
    <t>N2O LULUCF</t>
  </si>
  <si>
    <t>Linked to CO2 column in Scenarios</t>
  </si>
  <si>
    <t>CO2 Only</t>
  </si>
  <si>
    <t>Total LULUCF GWP 100 AR5</t>
  </si>
  <si>
    <t>Link to Scenario Sheets</t>
  </si>
  <si>
    <t>Net LULUCF</t>
  </si>
  <si>
    <t>Forest</t>
  </si>
  <si>
    <t>Cropland</t>
  </si>
  <si>
    <t>Grassland</t>
  </si>
  <si>
    <t>Wetland</t>
  </si>
  <si>
    <t>Settlement</t>
  </si>
  <si>
    <t>Other land</t>
  </si>
  <si>
    <t>HWP</t>
  </si>
  <si>
    <t>Average from 2010-2019</t>
  </si>
  <si>
    <t>Goblin 51% WAM</t>
  </si>
  <si>
    <t>Total direct N2O emissions with N2O from LULUCF</t>
  </si>
  <si>
    <t>CH4 excl LULUCF</t>
  </si>
  <si>
    <t>CH4 INL LULUCF</t>
  </si>
  <si>
    <t>N20 excl LULUCF</t>
  </si>
  <si>
    <t>N2O incl LULUCF</t>
  </si>
  <si>
    <t>Illustrative Scenario</t>
  </si>
  <si>
    <t>% reduction</t>
  </si>
  <si>
    <t>Scenarios</t>
  </si>
  <si>
    <t>CO2 excluding LULUCF</t>
  </si>
  <si>
    <t>N2O excluding LULUCF</t>
  </si>
  <si>
    <t>Other gases (F-gases)</t>
  </si>
  <si>
    <t>LULUCF (all gases)</t>
  </si>
  <si>
    <t>Data Source</t>
  </si>
  <si>
    <t>TIM</t>
  </si>
  <si>
    <t>Linear</t>
  </si>
  <si>
    <t>Goblin</t>
  </si>
  <si>
    <t>\</t>
  </si>
  <si>
    <t>CH4 excluding LULUCF</t>
  </si>
  <si>
    <r>
      <rPr>
        <b/>
        <sz val="18"/>
        <color theme="1"/>
        <rFont val="Calibri"/>
        <family val="2"/>
        <scheme val="minor"/>
      </rPr>
      <t>Cannot</t>
    </r>
    <r>
      <rPr>
        <sz val="18"/>
        <color theme="1"/>
        <rFont val="Calibri"/>
        <family val="2"/>
        <scheme val="minor"/>
      </rPr>
      <t xml:space="preserve"> be changed by User</t>
    </r>
  </si>
  <si>
    <r>
      <rPr>
        <b/>
        <sz val="18"/>
        <color theme="1"/>
        <rFont val="Calibri"/>
        <family val="2"/>
        <scheme val="minor"/>
      </rPr>
      <t>Can</t>
    </r>
    <r>
      <rPr>
        <sz val="18"/>
        <color theme="1"/>
        <rFont val="Calibri"/>
        <family val="2"/>
        <scheme val="minor"/>
      </rPr>
      <t xml:space="preserve"> be changed by User</t>
    </r>
  </si>
  <si>
    <t>Outputs</t>
  </si>
  <si>
    <t>% Emission reduction in 2030 relative to 2018</t>
  </si>
  <si>
    <t>% Emissions Reduce rel to 2018</t>
  </si>
  <si>
    <t>no impact on CB1 or CB2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</si>
</sst>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0.0"/>
    <numFmt numFmtId="165" formatCode="0.0000"/>
    <numFmt numFmtId="166" formatCode="#,##0.0"/>
    <numFmt numFmtId="167" formatCode="_-* #,##0.0_-;\-* #,##0.0_-;_-* &quot;-&quot;?_-;_-@_-"/>
    <numFmt numFmtId="168" formatCode="0.000"/>
    <numFmt numFmtId="169" formatCode="0.0%"/>
    <numFmt numFmtId="170" formatCode="0.000%"/>
    <numFmt numFmtId="171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trike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3D49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3" fillId="0" borderId="0" applyNumberFormat="0">
      <alignment horizontal="right"/>
    </xf>
    <xf numFmtId="0" fontId="22" fillId="0" borderId="0"/>
    <xf numFmtId="0" fontId="22" fillId="0" borderId="0"/>
    <xf numFmtId="0" fontId="21" fillId="0" borderId="0" applyNumberFormat="0" applyFont="0" applyFill="0" applyBorder="0" applyProtection="0">
      <alignment horizontal="left" vertical="center" indent="5"/>
    </xf>
    <xf numFmtId="0" fontId="21" fillId="0" borderId="0" applyNumberFormat="0" applyFont="0" applyFill="0" applyBorder="0" applyProtection="0">
      <alignment horizontal="left" vertical="center" indent="2"/>
    </xf>
    <xf numFmtId="0" fontId="21" fillId="0" borderId="17"/>
    <xf numFmtId="0" fontId="22" fillId="0" borderId="0" applyBorder="0">
      <alignment horizontal="right" vertical="center"/>
    </xf>
  </cellStyleXfs>
  <cellXfs count="224">
    <xf numFmtId="0" fontId="0" fillId="0" borderId="0" xfId="0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0" fontId="20" fillId="33" borderId="0" xfId="42" applyFont="1" applyFill="1" applyAlignment="1">
      <alignment vertical="center"/>
    </xf>
    <xf numFmtId="0" fontId="22" fillId="33" borderId="0" xfId="43" applyFont="1" applyFill="1" applyAlignment="1"/>
    <xf numFmtId="0" fontId="22" fillId="33" borderId="0" xfId="44" applyFont="1" applyFill="1" applyBorder="1" applyAlignment="1" applyProtection="1">
      <alignment horizontal="right"/>
    </xf>
    <xf numFmtId="0" fontId="22" fillId="0" borderId="0" xfId="43" applyFont="1"/>
    <xf numFmtId="2" fontId="25" fillId="34" borderId="10" xfId="45" applyNumberFormat="1" applyFont="1" applyFill="1" applyBorder="1" applyAlignment="1">
      <alignment vertical="center"/>
    </xf>
    <xf numFmtId="49" fontId="25" fillId="34" borderId="11" xfId="46" applyNumberFormat="1" applyFont="1" applyFill="1" applyBorder="1" applyAlignment="1">
      <alignment horizontal="center" vertical="center"/>
    </xf>
    <xf numFmtId="0" fontId="25" fillId="34" borderId="11" xfId="46" applyFont="1" applyFill="1" applyBorder="1" applyAlignment="1">
      <alignment horizontal="center" vertical="center" wrapText="1"/>
    </xf>
    <xf numFmtId="2" fontId="25" fillId="34" borderId="12" xfId="45" applyNumberFormat="1" applyFont="1" applyFill="1" applyBorder="1" applyAlignment="1">
      <alignment horizontal="left" vertical="center"/>
    </xf>
    <xf numFmtId="0" fontId="25" fillId="34" borderId="15" xfId="46" applyFont="1" applyFill="1" applyBorder="1" applyAlignment="1">
      <alignment horizontal="center" vertical="center"/>
    </xf>
    <xf numFmtId="2" fontId="25" fillId="34" borderId="16" xfId="45" applyNumberFormat="1" applyFont="1" applyFill="1" applyBorder="1" applyAlignment="1" applyProtection="1">
      <alignment vertical="center"/>
    </xf>
    <xf numFmtId="2" fontId="28" fillId="35" borderId="11" xfId="0" applyNumberFormat="1" applyFont="1" applyFill="1" applyBorder="1" applyAlignment="1">
      <alignment horizontal="right"/>
    </xf>
    <xf numFmtId="2" fontId="25" fillId="34" borderId="11" xfId="45" applyNumberFormat="1" applyFont="1" applyFill="1" applyBorder="1" applyAlignment="1" applyProtection="1">
      <alignment vertical="center"/>
    </xf>
    <xf numFmtId="2" fontId="22" fillId="34" borderId="11" xfId="45" applyNumberFormat="1" applyFont="1" applyFill="1" applyBorder="1" applyAlignment="1" applyProtection="1">
      <alignment horizontal="left" vertical="center" indent="2"/>
    </xf>
    <xf numFmtId="0" fontId="22" fillId="34" borderId="11" xfId="47" applyFont="1" applyFill="1" applyBorder="1" applyAlignment="1">
      <alignment horizontal="left" vertical="center" indent="5"/>
    </xf>
    <xf numFmtId="2" fontId="28" fillId="36" borderId="11" xfId="0" applyNumberFormat="1" applyFont="1" applyFill="1" applyBorder="1" applyAlignment="1">
      <alignment horizontal="right"/>
    </xf>
    <xf numFmtId="4" fontId="28" fillId="36" borderId="11" xfId="0" applyNumberFormat="1" applyFont="1" applyFill="1" applyBorder="1" applyAlignment="1">
      <alignment horizontal="right"/>
    </xf>
    <xf numFmtId="0" fontId="22" fillId="34" borderId="11" xfId="48" applyFont="1" applyFill="1" applyBorder="1" applyAlignment="1">
      <alignment horizontal="left" vertical="center" indent="2"/>
    </xf>
    <xf numFmtId="0" fontId="22" fillId="34" borderId="11" xfId="48" applyFont="1" applyFill="1" applyBorder="1" applyAlignment="1">
      <alignment horizontal="left" vertical="center" wrapText="1" indent="2"/>
    </xf>
    <xf numFmtId="0" fontId="25" fillId="34" borderId="11" xfId="43" applyFont="1" applyFill="1" applyBorder="1" applyAlignment="1"/>
    <xf numFmtId="2" fontId="25" fillId="34" borderId="11" xfId="45" applyNumberFormat="1" applyFont="1" applyFill="1" applyBorder="1" applyAlignment="1">
      <alignment vertical="center"/>
    </xf>
    <xf numFmtId="2" fontId="25" fillId="34" borderId="11" xfId="45" quotePrefix="1" applyNumberFormat="1" applyFont="1" applyFill="1" applyBorder="1" applyAlignment="1" applyProtection="1">
      <alignment horizontal="left" vertical="center"/>
    </xf>
    <xf numFmtId="2" fontId="28" fillId="37" borderId="11" xfId="0" applyNumberFormat="1" applyFont="1" applyFill="1" applyBorder="1" applyAlignment="1">
      <alignment horizontal="right"/>
    </xf>
    <xf numFmtId="0" fontId="22" fillId="34" borderId="11" xfId="45" applyFont="1" applyFill="1" applyBorder="1" applyAlignment="1">
      <alignment vertical="center"/>
    </xf>
    <xf numFmtId="2" fontId="25" fillId="34" borderId="11" xfId="45" applyNumberFormat="1" applyFont="1" applyFill="1" applyBorder="1" applyAlignment="1" applyProtection="1">
      <alignment horizontal="left" vertical="center"/>
    </xf>
    <xf numFmtId="2" fontId="25" fillId="34" borderId="11" xfId="45" applyNumberFormat="1" applyFont="1" applyFill="1" applyBorder="1" applyAlignment="1">
      <alignment horizontal="left" vertical="center"/>
    </xf>
    <xf numFmtId="0" fontId="22" fillId="33" borderId="0" xfId="46" applyFont="1" applyFill="1" applyAlignment="1">
      <alignment vertical="center"/>
    </xf>
    <xf numFmtId="49" fontId="25" fillId="34" borderId="11" xfId="46" applyNumberFormat="1" applyFont="1" applyFill="1" applyBorder="1" applyAlignment="1">
      <alignment horizontal="center" vertical="center" wrapText="1"/>
    </xf>
    <xf numFmtId="0" fontId="22" fillId="33" borderId="0" xfId="49" applyNumberFormat="1" applyFont="1" applyFill="1" applyBorder="1" applyAlignment="1" applyProtection="1"/>
    <xf numFmtId="2" fontId="25" fillId="34" borderId="18" xfId="45" applyNumberFormat="1" applyFont="1" applyFill="1" applyBorder="1" applyAlignment="1" applyProtection="1">
      <alignment vertical="center"/>
    </xf>
    <xf numFmtId="0" fontId="22" fillId="33" borderId="0" xfId="43" applyFont="1" applyFill="1" applyBorder="1" applyAlignment="1"/>
    <xf numFmtId="2" fontId="25" fillId="34" borderId="19" xfId="45" applyNumberFormat="1" applyFont="1" applyFill="1" applyBorder="1" applyAlignment="1" applyProtection="1">
      <alignment vertical="center"/>
    </xf>
    <xf numFmtId="0" fontId="25" fillId="34" borderId="11" xfId="46" applyFont="1" applyFill="1" applyBorder="1" applyAlignment="1">
      <alignment vertical="center" wrapText="1"/>
    </xf>
    <xf numFmtId="2" fontId="25" fillId="33" borderId="0" xfId="45" applyNumberFormat="1" applyFont="1" applyFill="1" applyBorder="1" applyAlignment="1" applyProtection="1">
      <alignment horizontal="left" vertical="center"/>
    </xf>
    <xf numFmtId="0" fontId="25" fillId="33" borderId="0" xfId="46" applyFont="1" applyFill="1" applyBorder="1" applyAlignment="1"/>
    <xf numFmtId="0" fontId="25" fillId="34" borderId="20" xfId="46" applyFont="1" applyFill="1" applyBorder="1" applyAlignment="1">
      <alignment horizontal="center" vertical="center"/>
    </xf>
    <xf numFmtId="0" fontId="25" fillId="34" borderId="10" xfId="46" applyFont="1" applyFill="1" applyBorder="1" applyAlignment="1">
      <alignment vertical="center" wrapText="1"/>
    </xf>
    <xf numFmtId="2" fontId="25" fillId="34" borderId="10" xfId="45" applyNumberFormat="1" applyFont="1" applyFill="1" applyBorder="1" applyAlignment="1" applyProtection="1">
      <alignment horizontal="left" vertical="center"/>
    </xf>
    <xf numFmtId="0" fontId="25" fillId="34" borderId="11" xfId="45" applyFont="1" applyFill="1" applyBorder="1" applyAlignment="1">
      <alignment vertical="center"/>
    </xf>
    <xf numFmtId="49" fontId="25" fillId="34" borderId="11" xfId="46" applyNumberFormat="1" applyFont="1" applyFill="1" applyBorder="1" applyAlignment="1" applyProtection="1">
      <alignment horizontal="center" vertical="center"/>
    </xf>
    <xf numFmtId="165" fontId="25" fillId="34" borderId="11" xfId="46" applyNumberFormat="1" applyFont="1" applyFill="1" applyBorder="1" applyAlignment="1" applyProtection="1">
      <alignment horizontal="center" vertical="center" wrapText="1"/>
    </xf>
    <xf numFmtId="2" fontId="25" fillId="34" borderId="15" xfId="46" applyNumberFormat="1" applyFont="1" applyFill="1" applyBorder="1" applyAlignment="1" applyProtection="1">
      <alignment horizontal="center" vertical="center"/>
    </xf>
    <xf numFmtId="2" fontId="25" fillId="34" borderId="18" xfId="46" applyNumberFormat="1" applyFont="1" applyFill="1" applyBorder="1" applyAlignment="1" applyProtection="1">
      <alignment vertical="center" wrapText="1"/>
    </xf>
    <xf numFmtId="2" fontId="25" fillId="34" borderId="16" xfId="46" applyNumberFormat="1" applyFont="1" applyFill="1" applyBorder="1" applyAlignment="1" applyProtection="1">
      <alignment vertical="center" wrapText="1"/>
    </xf>
    <xf numFmtId="0" fontId="22" fillId="34" borderId="11" xfId="43" applyFont="1" applyFill="1" applyBorder="1" applyAlignment="1">
      <alignment vertical="top" wrapText="1"/>
    </xf>
    <xf numFmtId="2" fontId="25" fillId="34" borderId="11" xfId="46" applyNumberFormat="1" applyFont="1" applyFill="1" applyBorder="1" applyAlignment="1" applyProtection="1">
      <alignment vertical="center" wrapText="1"/>
    </xf>
    <xf numFmtId="0" fontId="25" fillId="34" borderId="11" xfId="43" applyFont="1" applyFill="1" applyBorder="1" applyAlignment="1">
      <alignment vertical="top" wrapText="1"/>
    </xf>
    <xf numFmtId="2" fontId="22" fillId="34" borderId="10" xfId="46" applyNumberFormat="1" applyFont="1" applyFill="1" applyBorder="1" applyAlignment="1" applyProtection="1">
      <alignment vertical="center" wrapText="1"/>
    </xf>
    <xf numFmtId="2" fontId="25" fillId="34" borderId="11" xfId="46" applyNumberFormat="1" applyFont="1" applyFill="1" applyBorder="1" applyAlignment="1" applyProtection="1">
      <alignment horizontal="left" vertical="center" wrapText="1"/>
    </xf>
    <xf numFmtId="2" fontId="22" fillId="34" borderId="11" xfId="46" applyNumberFormat="1" applyFont="1" applyFill="1" applyBorder="1" applyAlignment="1" applyProtection="1">
      <alignment horizontal="left" vertical="center" wrapText="1"/>
    </xf>
    <xf numFmtId="2" fontId="22" fillId="33" borderId="0" xfId="46" applyNumberFormat="1" applyFont="1" applyFill="1" applyBorder="1" applyAlignment="1" applyProtection="1">
      <alignment horizontal="left" vertical="center"/>
    </xf>
    <xf numFmtId="0" fontId="22" fillId="33" borderId="0" xfId="50" applyFont="1" applyFill="1" applyBorder="1" applyAlignment="1">
      <alignment horizontal="right" vertical="center"/>
    </xf>
    <xf numFmtId="0" fontId="22" fillId="0" borderId="0" xfId="43" applyFont="1" applyFill="1" applyBorder="1"/>
    <xf numFmtId="49" fontId="22" fillId="0" borderId="0" xfId="43" applyNumberFormat="1" applyFont="1"/>
    <xf numFmtId="2" fontId="22" fillId="0" borderId="0" xfId="43" applyNumberFormat="1" applyFont="1"/>
    <xf numFmtId="0" fontId="22" fillId="0" borderId="0" xfId="43" applyNumberFormat="1" applyFont="1"/>
    <xf numFmtId="164" fontId="22" fillId="0" borderId="0" xfId="43" applyNumberFormat="1" applyFont="1"/>
    <xf numFmtId="49" fontId="22" fillId="0" borderId="0" xfId="46" applyNumberFormat="1" applyFont="1" applyFill="1" applyBorder="1" applyAlignment="1">
      <alignment horizontal="center" vertical="center"/>
    </xf>
    <xf numFmtId="0" fontId="22" fillId="0" borderId="0" xfId="43" applyFont="1" applyAlignment="1">
      <alignment wrapText="1"/>
    </xf>
    <xf numFmtId="3" fontId="22" fillId="0" borderId="0" xfId="43" applyNumberFormat="1" applyFont="1"/>
    <xf numFmtId="3" fontId="22" fillId="0" borderId="0" xfId="43" applyNumberFormat="1" applyFont="1" applyAlignment="1">
      <alignment wrapText="1"/>
    </xf>
    <xf numFmtId="166" fontId="22" fillId="0" borderId="0" xfId="43" applyNumberFormat="1" applyFont="1"/>
    <xf numFmtId="167" fontId="22" fillId="0" borderId="0" xfId="43" applyNumberFormat="1" applyFont="1"/>
    <xf numFmtId="1" fontId="22" fillId="0" borderId="0" xfId="43" applyNumberFormat="1" applyFont="1"/>
    <xf numFmtId="1" fontId="22" fillId="0" borderId="0" xfId="43" applyNumberFormat="1" applyFont="1" applyAlignment="1">
      <alignment wrapText="1"/>
    </xf>
    <xf numFmtId="164" fontId="0" fillId="38" borderId="0" xfId="0" applyNumberFormat="1" applyFill="1"/>
    <xf numFmtId="2" fontId="0" fillId="38" borderId="0" xfId="0" applyNumberFormat="1" applyFill="1"/>
    <xf numFmtId="164" fontId="0" fillId="39" borderId="0" xfId="0" applyNumberFormat="1" applyFill="1"/>
    <xf numFmtId="2" fontId="0" fillId="39" borderId="0" xfId="0" applyNumberFormat="1" applyFill="1"/>
    <xf numFmtId="9" fontId="0" fillId="39" borderId="0" xfId="0" applyNumberFormat="1" applyFill="1"/>
    <xf numFmtId="9" fontId="0" fillId="40" borderId="0" xfId="0" applyNumberFormat="1" applyFill="1"/>
    <xf numFmtId="9" fontId="0" fillId="41" borderId="0" xfId="0" applyNumberFormat="1" applyFill="1"/>
    <xf numFmtId="0" fontId="0" fillId="0" borderId="0" xfId="0" applyAlignment="1">
      <alignment wrapText="1"/>
    </xf>
    <xf numFmtId="0" fontId="0" fillId="38" borderId="0" xfId="0" applyFill="1"/>
    <xf numFmtId="168" fontId="0" fillId="38" borderId="0" xfId="0" applyNumberFormat="1" applyFill="1"/>
    <xf numFmtId="165" fontId="0" fillId="0" borderId="0" xfId="0" applyNumberFormat="1"/>
    <xf numFmtId="164" fontId="0" fillId="42" borderId="0" xfId="0" applyNumberFormat="1" applyFill="1"/>
    <xf numFmtId="2" fontId="0" fillId="42" borderId="0" xfId="0" applyNumberFormat="1" applyFill="1"/>
    <xf numFmtId="169" fontId="0" fillId="0" borderId="0" xfId="0" applyNumberFormat="1"/>
    <xf numFmtId="2" fontId="0" fillId="0" borderId="0" xfId="0" applyNumberFormat="1" applyAlignment="1">
      <alignment vertical="top" wrapText="1"/>
    </xf>
    <xf numFmtId="169" fontId="0" fillId="38" borderId="0" xfId="0" applyNumberFormat="1" applyFill="1"/>
    <xf numFmtId="9" fontId="0" fillId="38" borderId="0" xfId="0" applyNumberFormat="1" applyFill="1"/>
    <xf numFmtId="169" fontId="22" fillId="0" borderId="0" xfId="43" applyNumberFormat="1" applyFont="1"/>
    <xf numFmtId="1" fontId="0" fillId="0" borderId="0" xfId="0" applyNumberFormat="1"/>
    <xf numFmtId="9" fontId="16" fillId="40" borderId="0" xfId="0" applyNumberFormat="1" applyFont="1" applyFill="1"/>
    <xf numFmtId="10" fontId="0" fillId="0" borderId="0" xfId="0" applyNumberFormat="1"/>
    <xf numFmtId="164" fontId="0" fillId="0" borderId="0" xfId="0" applyNumberFormat="1" applyAlignment="1">
      <alignment wrapText="1"/>
    </xf>
    <xf numFmtId="166" fontId="0" fillId="0" borderId="0" xfId="0" applyNumberFormat="1"/>
    <xf numFmtId="0" fontId="0" fillId="43" borderId="0" xfId="0" applyFill="1"/>
    <xf numFmtId="0" fontId="0" fillId="40" borderId="0" xfId="0" applyFill="1" applyAlignment="1">
      <alignment wrapText="1"/>
    </xf>
    <xf numFmtId="0" fontId="0" fillId="40" borderId="0" xfId="0" applyFill="1"/>
    <xf numFmtId="1" fontId="0" fillId="40" borderId="0" xfId="0" applyNumberFormat="1" applyFill="1"/>
    <xf numFmtId="1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8" fontId="0" fillId="0" borderId="0" xfId="0" applyNumberFormat="1"/>
    <xf numFmtId="170" fontId="0" fillId="0" borderId="0" xfId="0" applyNumberFormat="1"/>
    <xf numFmtId="0" fontId="0" fillId="46" borderId="0" xfId="0" applyFill="1"/>
    <xf numFmtId="2" fontId="0" fillId="46" borderId="0" xfId="0" applyNumberFormat="1" applyFill="1"/>
    <xf numFmtId="164" fontId="0" fillId="46" borderId="0" xfId="0" applyNumberFormat="1" applyFill="1"/>
    <xf numFmtId="3" fontId="0" fillId="0" borderId="0" xfId="0" applyNumberFormat="1"/>
    <xf numFmtId="0" fontId="0" fillId="0" borderId="0" xfId="0" applyAlignment="1"/>
    <xf numFmtId="0" fontId="0" fillId="45" borderId="24" xfId="0" applyFill="1" applyBorder="1" applyAlignment="1">
      <alignment vertical="center" wrapText="1"/>
    </xf>
    <xf numFmtId="0" fontId="35" fillId="45" borderId="23" xfId="0" applyFont="1" applyFill="1" applyBorder="1" applyAlignment="1">
      <alignment vertical="center" wrapText="1"/>
    </xf>
    <xf numFmtId="0" fontId="35" fillId="44" borderId="23" xfId="0" applyFont="1" applyFill="1" applyBorder="1" applyAlignment="1">
      <alignment vertical="center" wrapText="1"/>
    </xf>
    <xf numFmtId="3" fontId="0" fillId="40" borderId="0" xfId="0" applyNumberFormat="1" applyFill="1"/>
    <xf numFmtId="1" fontId="0" fillId="47" borderId="0" xfId="0" applyNumberFormat="1" applyFill="1"/>
    <xf numFmtId="1" fontId="0" fillId="48" borderId="0" xfId="0" applyNumberFormat="1" applyFill="1"/>
    <xf numFmtId="1" fontId="16" fillId="0" borderId="0" xfId="0" applyNumberFormat="1" applyFont="1"/>
    <xf numFmtId="0" fontId="36" fillId="49" borderId="26" xfId="0" applyFont="1" applyFill="1" applyBorder="1" applyAlignment="1">
      <alignment vertical="center" wrapText="1"/>
    </xf>
    <xf numFmtId="0" fontId="36" fillId="49" borderId="27" xfId="0" applyFont="1" applyFill="1" applyBorder="1" applyAlignment="1">
      <alignment vertical="center" wrapText="1"/>
    </xf>
    <xf numFmtId="0" fontId="36" fillId="49" borderId="28" xfId="0" applyFont="1" applyFill="1" applyBorder="1" applyAlignment="1">
      <alignment vertical="center" wrapText="1"/>
    </xf>
    <xf numFmtId="0" fontId="35" fillId="44" borderId="22" xfId="0" applyFont="1" applyFill="1" applyBorder="1" applyAlignment="1">
      <alignment vertical="center" wrapText="1"/>
    </xf>
    <xf numFmtId="166" fontId="22" fillId="40" borderId="0" xfId="43" applyNumberFormat="1" applyFont="1" applyFill="1"/>
    <xf numFmtId="0" fontId="22" fillId="0" borderId="0" xfId="43" applyFont="1" applyFill="1" applyAlignment="1">
      <alignment wrapText="1"/>
    </xf>
    <xf numFmtId="166" fontId="22" fillId="0" borderId="0" xfId="43" applyNumberFormat="1" applyFont="1" applyFill="1"/>
    <xf numFmtId="0" fontId="22" fillId="0" borderId="0" xfId="43" applyFont="1" applyFill="1"/>
    <xf numFmtId="0" fontId="35" fillId="0" borderId="0" xfId="0" applyFont="1" applyAlignment="1">
      <alignment wrapText="1"/>
    </xf>
    <xf numFmtId="164" fontId="0" fillId="50" borderId="0" xfId="0" applyNumberFormat="1" applyFill="1"/>
    <xf numFmtId="0" fontId="38" fillId="0" borderId="0" xfId="0" applyFont="1"/>
    <xf numFmtId="164" fontId="16" fillId="47" borderId="0" xfId="0" applyNumberFormat="1" applyFont="1" applyFill="1"/>
    <xf numFmtId="164" fontId="16" fillId="40" borderId="0" xfId="0" applyNumberFormat="1" applyFont="1" applyFill="1"/>
    <xf numFmtId="164" fontId="16" fillId="0" borderId="0" xfId="0" applyNumberFormat="1" applyFont="1"/>
    <xf numFmtId="164" fontId="16" fillId="48" borderId="0" xfId="0" applyNumberFormat="1" applyFont="1" applyFill="1"/>
    <xf numFmtId="0" fontId="22" fillId="51" borderId="0" xfId="43" applyFont="1" applyFill="1"/>
    <xf numFmtId="3" fontId="22" fillId="51" borderId="0" xfId="43" applyNumberFormat="1" applyFont="1" applyFill="1" applyAlignment="1">
      <alignment wrapText="1"/>
    </xf>
    <xf numFmtId="3" fontId="22" fillId="51" borderId="0" xfId="43" applyNumberFormat="1" applyFont="1" applyFill="1"/>
    <xf numFmtId="41" fontId="0" fillId="0" borderId="0" xfId="0" applyNumberFormat="1"/>
    <xf numFmtId="171" fontId="0" fillId="0" borderId="0" xfId="0" applyNumberFormat="1"/>
    <xf numFmtId="164" fontId="0" fillId="0" borderId="0" xfId="0" applyNumberFormat="1" applyAlignment="1"/>
    <xf numFmtId="166" fontId="0" fillId="0" borderId="0" xfId="0" applyNumberFormat="1" applyAlignment="1">
      <alignment wrapText="1"/>
    </xf>
    <xf numFmtId="164" fontId="0" fillId="52" borderId="0" xfId="0" applyNumberFormat="1" applyFill="1"/>
    <xf numFmtId="0" fontId="0" fillId="0" borderId="0" xfId="0" applyFill="1"/>
    <xf numFmtId="164" fontId="0" fillId="0" borderId="0" xfId="0" applyNumberFormat="1" applyFill="1"/>
    <xf numFmtId="0" fontId="34" fillId="0" borderId="0" xfId="0" applyFont="1" applyFill="1"/>
    <xf numFmtId="164" fontId="34" fillId="0" borderId="0" xfId="0" applyNumberFormat="1" applyFont="1" applyFill="1"/>
    <xf numFmtId="2" fontId="0" fillId="0" borderId="0" xfId="0" applyNumberFormat="1" applyFill="1"/>
    <xf numFmtId="165" fontId="0" fillId="0" borderId="0" xfId="0" applyNumberFormat="1" applyFill="1"/>
    <xf numFmtId="9" fontId="0" fillId="0" borderId="0" xfId="0" applyNumberFormat="1" applyFill="1"/>
    <xf numFmtId="2" fontId="0" fillId="0" borderId="0" xfId="0" applyNumberFormat="1" applyFill="1" applyAlignment="1">
      <alignment vertical="top" wrapText="1"/>
    </xf>
    <xf numFmtId="0" fontId="0" fillId="0" borderId="0" xfId="0" applyFill="1" applyAlignment="1">
      <alignment wrapText="1"/>
    </xf>
    <xf numFmtId="169" fontId="0" fillId="0" borderId="0" xfId="0" applyNumberFormat="1" applyFill="1"/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9" fontId="16" fillId="38" borderId="0" xfId="0" applyNumberFormat="1" applyFont="1" applyFill="1"/>
    <xf numFmtId="2" fontId="16" fillId="0" borderId="0" xfId="0" applyNumberFormat="1" applyFont="1" applyFill="1"/>
    <xf numFmtId="0" fontId="0" fillId="53" borderId="0" xfId="0" applyFill="1"/>
    <xf numFmtId="1" fontId="0" fillId="53" borderId="0" xfId="0" applyNumberFormat="1" applyFill="1"/>
    <xf numFmtId="0" fontId="0" fillId="52" borderId="0" xfId="0" applyFill="1"/>
    <xf numFmtId="0" fontId="0" fillId="52" borderId="0" xfId="0" applyFill="1" applyAlignment="1">
      <alignment wrapText="1"/>
    </xf>
    <xf numFmtId="1" fontId="0" fillId="52" borderId="0" xfId="0" applyNumberFormat="1" applyFill="1"/>
    <xf numFmtId="9" fontId="0" fillId="46" borderId="0" xfId="0" applyNumberFormat="1" applyFill="1"/>
    <xf numFmtId="9" fontId="0" fillId="50" borderId="0" xfId="0" applyNumberFormat="1" applyFill="1"/>
    <xf numFmtId="1" fontId="0" fillId="39" borderId="0" xfId="0" applyNumberFormat="1" applyFill="1"/>
    <xf numFmtId="0" fontId="0" fillId="39" borderId="0" xfId="0" applyFill="1"/>
    <xf numFmtId="0" fontId="0" fillId="48" borderId="0" xfId="0" applyFill="1"/>
    <xf numFmtId="0" fontId="0" fillId="42" borderId="0" xfId="0" applyFill="1"/>
    <xf numFmtId="0" fontId="0" fillId="54" borderId="0" xfId="0" applyFill="1"/>
    <xf numFmtId="0" fontId="0" fillId="55" borderId="0" xfId="0" applyFill="1"/>
    <xf numFmtId="0" fontId="0" fillId="56" borderId="0" xfId="0" applyFill="1"/>
    <xf numFmtId="164" fontId="0" fillId="48" borderId="0" xfId="0" applyNumberFormat="1" applyFill="1"/>
    <xf numFmtId="169" fontId="0" fillId="48" borderId="0" xfId="0" applyNumberFormat="1" applyFill="1"/>
    <xf numFmtId="0" fontId="0" fillId="48" borderId="0" xfId="0" applyFill="1" applyAlignment="1">
      <alignment wrapText="1"/>
    </xf>
    <xf numFmtId="9" fontId="0" fillId="48" borderId="0" xfId="0" applyNumberFormat="1" applyFill="1"/>
    <xf numFmtId="168" fontId="0" fillId="48" borderId="0" xfId="0" applyNumberFormat="1" applyFill="1"/>
    <xf numFmtId="165" fontId="0" fillId="48" borderId="0" xfId="0" applyNumberFormat="1" applyFill="1"/>
    <xf numFmtId="169" fontId="0" fillId="42" borderId="0" xfId="0" applyNumberFormat="1" applyFill="1"/>
    <xf numFmtId="0" fontId="0" fillId="42" borderId="0" xfId="0" applyFill="1" applyAlignment="1">
      <alignment wrapText="1"/>
    </xf>
    <xf numFmtId="9" fontId="0" fillId="42" borderId="0" xfId="0" applyNumberFormat="1" applyFill="1"/>
    <xf numFmtId="168" fontId="0" fillId="42" borderId="0" xfId="0" applyNumberFormat="1" applyFill="1"/>
    <xf numFmtId="165" fontId="0" fillId="42" borderId="0" xfId="0" applyNumberFormat="1" applyFill="1"/>
    <xf numFmtId="164" fontId="0" fillId="54" borderId="0" xfId="0" applyNumberFormat="1" applyFill="1"/>
    <xf numFmtId="169" fontId="0" fillId="54" borderId="0" xfId="0" applyNumberFormat="1" applyFill="1"/>
    <xf numFmtId="9" fontId="0" fillId="54" borderId="0" xfId="0" applyNumberFormat="1" applyFill="1" applyAlignment="1">
      <alignment wrapText="1"/>
    </xf>
    <xf numFmtId="9" fontId="0" fillId="54" borderId="0" xfId="0" applyNumberFormat="1" applyFill="1"/>
    <xf numFmtId="1" fontId="0" fillId="54" borderId="0" xfId="0" applyNumberFormat="1" applyFill="1"/>
    <xf numFmtId="2" fontId="0" fillId="54" borderId="0" xfId="0" applyNumberFormat="1" applyFill="1"/>
    <xf numFmtId="164" fontId="0" fillId="55" borderId="0" xfId="0" applyNumberFormat="1" applyFill="1"/>
    <xf numFmtId="169" fontId="0" fillId="55" borderId="0" xfId="0" applyNumberFormat="1" applyFill="1"/>
    <xf numFmtId="9" fontId="0" fillId="55" borderId="0" xfId="0" applyNumberFormat="1" applyFill="1" applyAlignment="1">
      <alignment wrapText="1"/>
    </xf>
    <xf numFmtId="1" fontId="0" fillId="55" borderId="0" xfId="0" applyNumberFormat="1" applyFill="1"/>
    <xf numFmtId="9" fontId="0" fillId="55" borderId="0" xfId="0" applyNumberFormat="1" applyFill="1"/>
    <xf numFmtId="164" fontId="0" fillId="56" borderId="0" xfId="0" applyNumberFormat="1" applyFill="1"/>
    <xf numFmtId="169" fontId="0" fillId="56" borderId="0" xfId="0" applyNumberFormat="1" applyFill="1"/>
    <xf numFmtId="9" fontId="0" fillId="56" borderId="0" xfId="0" applyNumberFormat="1" applyFill="1" applyAlignment="1">
      <alignment wrapText="1"/>
    </xf>
    <xf numFmtId="1" fontId="0" fillId="56" borderId="0" xfId="0" applyNumberFormat="1" applyFill="1"/>
    <xf numFmtId="9" fontId="0" fillId="56" borderId="0" xfId="0" applyNumberFormat="1" applyFill="1"/>
    <xf numFmtId="0" fontId="0" fillId="57" borderId="0" xfId="0" applyFill="1"/>
    <xf numFmtId="164" fontId="0" fillId="57" borderId="0" xfId="0" applyNumberFormat="1" applyFill="1"/>
    <xf numFmtId="169" fontId="0" fillId="57" borderId="0" xfId="0" applyNumberFormat="1" applyFill="1"/>
    <xf numFmtId="1" fontId="0" fillId="57" borderId="0" xfId="0" applyNumberFormat="1" applyFill="1"/>
    <xf numFmtId="9" fontId="41" fillId="46" borderId="0" xfId="0" applyNumberFormat="1" applyFont="1" applyFill="1"/>
    <xf numFmtId="9" fontId="41" fillId="50" borderId="0" xfId="0" applyNumberFormat="1" applyFont="1" applyFill="1"/>
    <xf numFmtId="164" fontId="0" fillId="48" borderId="0" xfId="0" applyNumberFormat="1" applyFill="1" applyAlignment="1">
      <alignment wrapText="1"/>
    </xf>
    <xf numFmtId="164" fontId="0" fillId="42" borderId="0" xfId="0" applyNumberFormat="1" applyFill="1" applyAlignment="1">
      <alignment wrapText="1"/>
    </xf>
    <xf numFmtId="164" fontId="0" fillId="54" borderId="0" xfId="0" applyNumberFormat="1" applyFill="1" applyAlignment="1">
      <alignment wrapText="1"/>
    </xf>
    <xf numFmtId="164" fontId="0" fillId="55" borderId="0" xfId="0" applyNumberFormat="1" applyFill="1" applyAlignment="1">
      <alignment wrapText="1"/>
    </xf>
    <xf numFmtId="164" fontId="0" fillId="56" borderId="0" xfId="0" applyNumberFormat="1" applyFill="1" applyAlignment="1">
      <alignment wrapText="1"/>
    </xf>
    <xf numFmtId="0" fontId="39" fillId="0" borderId="0" xfId="0" applyFont="1" applyAlignment="1">
      <alignment wrapText="1"/>
    </xf>
    <xf numFmtId="1" fontId="0" fillId="42" borderId="0" xfId="0" applyNumberFormat="1" applyFill="1"/>
    <xf numFmtId="0" fontId="40" fillId="50" borderId="0" xfId="0" applyFont="1" applyFill="1"/>
    <xf numFmtId="0" fontId="0" fillId="58" borderId="0" xfId="0" applyFill="1"/>
    <xf numFmtId="9" fontId="0" fillId="58" borderId="0" xfId="0" applyNumberFormat="1" applyFill="1"/>
    <xf numFmtId="9" fontId="0" fillId="43" borderId="0" xfId="0" applyNumberFormat="1" applyFill="1"/>
    <xf numFmtId="0" fontId="0" fillId="49" borderId="21" xfId="0" applyFill="1" applyBorder="1" applyAlignment="1">
      <alignment vertical="center" wrapText="1"/>
    </xf>
    <xf numFmtId="0" fontId="0" fillId="49" borderId="22" xfId="0" applyFill="1" applyBorder="1" applyAlignment="1">
      <alignment vertical="center" wrapText="1"/>
    </xf>
    <xf numFmtId="0" fontId="0" fillId="49" borderId="25" xfId="0" applyFill="1" applyBorder="1" applyAlignment="1">
      <alignment vertical="center" wrapText="1"/>
    </xf>
    <xf numFmtId="1" fontId="36" fillId="44" borderId="29" xfId="0" applyNumberFormat="1" applyFont="1" applyFill="1" applyBorder="1" applyAlignment="1">
      <alignment horizontal="center" vertical="center" wrapText="1"/>
    </xf>
    <xf numFmtId="0" fontId="36" fillId="44" borderId="23" xfId="0" applyFont="1" applyFill="1" applyBorder="1" applyAlignment="1">
      <alignment horizontal="center" vertical="center" wrapText="1"/>
    </xf>
    <xf numFmtId="0" fontId="25" fillId="34" borderId="10" xfId="46" applyFont="1" applyFill="1" applyBorder="1" applyAlignment="1">
      <alignment vertical="center" wrapText="1"/>
    </xf>
    <xf numFmtId="0" fontId="25" fillId="34" borderId="12" xfId="46" applyFont="1" applyFill="1" applyBorder="1" applyAlignment="1">
      <alignment vertical="center" wrapText="1"/>
    </xf>
    <xf numFmtId="0" fontId="25" fillId="34" borderId="13" xfId="46" applyFont="1" applyFill="1" applyBorder="1" applyAlignment="1">
      <alignment horizontal="center" vertical="center"/>
    </xf>
    <xf numFmtId="0" fontId="25" fillId="34" borderId="14" xfId="46" applyFont="1" applyFill="1" applyBorder="1" applyAlignment="1">
      <alignment horizontal="center" vertical="center"/>
    </xf>
    <xf numFmtId="0" fontId="25" fillId="33" borderId="0" xfId="46" applyFont="1" applyFill="1" applyBorder="1" applyAlignment="1">
      <alignment horizontal="left"/>
    </xf>
    <xf numFmtId="0" fontId="25" fillId="34" borderId="11" xfId="46" applyFont="1" applyFill="1" applyBorder="1" applyAlignment="1">
      <alignment horizontal="left" vertical="center" wrapText="1"/>
    </xf>
    <xf numFmtId="0" fontId="25" fillId="34" borderId="15" xfId="46" applyFont="1" applyFill="1" applyBorder="1" applyAlignment="1">
      <alignment horizontal="left" vertical="center" wrapText="1"/>
    </xf>
    <xf numFmtId="0" fontId="25" fillId="34" borderId="11" xfId="46" applyFont="1" applyFill="1" applyBorder="1" applyAlignment="1">
      <alignment horizontal="center" vertical="center" wrapText="1"/>
    </xf>
    <xf numFmtId="0" fontId="25" fillId="34" borderId="15" xfId="46" applyFont="1" applyFill="1" applyBorder="1" applyAlignment="1">
      <alignment horizontal="center" vertical="center" wrapText="1"/>
    </xf>
    <xf numFmtId="2" fontId="25" fillId="34" borderId="11" xfId="46" applyNumberFormat="1" applyFont="1" applyFill="1" applyBorder="1" applyAlignment="1" applyProtection="1">
      <alignment horizontal="center" vertical="center" wrapText="1"/>
    </xf>
    <xf numFmtId="2" fontId="25" fillId="34" borderId="15" xfId="46" applyNumberFormat="1" applyFont="1" applyFill="1" applyBorder="1" applyAlignment="1" applyProtection="1">
      <alignment horizontal="center" vertical="center" wrapText="1"/>
    </xf>
    <xf numFmtId="2" fontId="25" fillId="34" borderId="13" xfId="46" applyNumberFormat="1" applyFont="1" applyFill="1" applyBorder="1" applyAlignment="1" applyProtection="1">
      <alignment horizontal="center" vertical="center"/>
    </xf>
    <xf numFmtId="2" fontId="25" fillId="34" borderId="14" xfId="46" applyNumberFormat="1" applyFont="1" applyFill="1" applyBorder="1" applyAlignment="1" applyProtection="1">
      <alignment horizontal="center" vertic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2x indented GHG Textfiels" xfId="48" xr:uid="{00000000-0005-0000-0000-000006000000}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5x indented GHG Textfiels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nstants" xfId="44" xr:uid="{00000000-0005-0000-0000-00001D000000}"/>
    <cellStyle name="Empty_L_border" xfId="49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line" xfId="42" xr:uid="{00000000-0005-0000-0000-000025000000}"/>
    <cellStyle name="Input" xfId="9" builtinId="20" customBuiltin="1"/>
    <cellStyle name="InputCells" xfId="50" xr:uid="{00000000-0005-0000-0000-000027000000}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Обычный_2++" xfId="45" xr:uid="{00000000-0005-0000-0000-000031000000}"/>
    <cellStyle name="Обычный_CRF2002 (1)" xfId="46" xr:uid="{00000000-0005-0000-0000-00003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3D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Cumulative</a:t>
            </a:r>
            <a:r>
              <a:rPr lang="en-IE" baseline="0"/>
              <a:t> Emissions</a:t>
            </a: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GasesSummary!$J$62</c:f>
              <c:strCache>
                <c:ptCount val="1"/>
                <c:pt idx="0">
                  <c:v>CO2 E57%A40%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GasesSummary!$J$63:$J$95</c:f>
              <c:numCache>
                <c:formatCode>0.0</c:formatCode>
                <c:ptCount val="33"/>
                <c:pt idx="2">
                  <c:v>37.397075829274357</c:v>
                </c:pt>
                <c:pt idx="3">
                  <c:v>76.840409073445016</c:v>
                </c:pt>
                <c:pt idx="4">
                  <c:v>116.63153045787718</c:v>
                </c:pt>
                <c:pt idx="5">
                  <c:v>157.0998057921085</c:v>
                </c:pt>
                <c:pt idx="6">
                  <c:v>192.9685267779912</c:v>
                </c:pt>
                <c:pt idx="7">
                  <c:v>225.52496018553174</c:v>
                </c:pt>
                <c:pt idx="8">
                  <c:v>254.13399376024498</c:v>
                </c:pt>
                <c:pt idx="9">
                  <c:v>280.09845612316155</c:v>
                </c:pt>
                <c:pt idx="10">
                  <c:v>303.33091107763227</c:v>
                </c:pt>
                <c:pt idx="11">
                  <c:v>324.23368909839945</c:v>
                </c:pt>
                <c:pt idx="12">
                  <c:v>343.42470033402498</c:v>
                </c:pt>
                <c:pt idx="13">
                  <c:v>361.65616100786923</c:v>
                </c:pt>
                <c:pt idx="14">
                  <c:v>378.92807111993221</c:v>
                </c:pt>
                <c:pt idx="15">
                  <c:v>395.24043067021393</c:v>
                </c:pt>
                <c:pt idx="16">
                  <c:v>410.59323965871431</c:v>
                </c:pt>
                <c:pt idx="17">
                  <c:v>424.98649808543342</c:v>
                </c:pt>
                <c:pt idx="18">
                  <c:v>438.42020595037127</c:v>
                </c:pt>
                <c:pt idx="19">
                  <c:v>450.89436325352784</c:v>
                </c:pt>
                <c:pt idx="20">
                  <c:v>462.40896999490315</c:v>
                </c:pt>
                <c:pt idx="21">
                  <c:v>472.96402617449718</c:v>
                </c:pt>
                <c:pt idx="22">
                  <c:v>482.55953179230994</c:v>
                </c:pt>
                <c:pt idx="23">
                  <c:v>491.19548684834143</c:v>
                </c:pt>
                <c:pt idx="24">
                  <c:v>498.87189134259165</c:v>
                </c:pt>
                <c:pt idx="25">
                  <c:v>505.58874527506055</c:v>
                </c:pt>
                <c:pt idx="26">
                  <c:v>511.34604864574817</c:v>
                </c:pt>
                <c:pt idx="27">
                  <c:v>516.14380145465452</c:v>
                </c:pt>
                <c:pt idx="28">
                  <c:v>519.9820037017796</c:v>
                </c:pt>
                <c:pt idx="29">
                  <c:v>522.86065538712342</c:v>
                </c:pt>
                <c:pt idx="30">
                  <c:v>524.77975651068596</c:v>
                </c:pt>
                <c:pt idx="31">
                  <c:v>525.73930707246723</c:v>
                </c:pt>
                <c:pt idx="32">
                  <c:v>525.73930707246723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8FA7-4C06-BCD5-3A40C7DFA99B}"/>
            </c:ext>
          </c:extLst>
        </c:ser>
        <c:ser>
          <c:idx val="10"/>
          <c:order val="10"/>
          <c:tx>
            <c:strRef>
              <c:f>GasesSummary!$T$62</c:f>
              <c:strCache>
                <c:ptCount val="1"/>
                <c:pt idx="0">
                  <c:v>CO2 E51%A51%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GasesSummary!$T$63:$T$95</c:f>
              <c:numCache>
                <c:formatCode>0.0</c:formatCode>
                <c:ptCount val="33"/>
                <c:pt idx="2">
                  <c:v>37.397075829274357</c:v>
                </c:pt>
                <c:pt idx="3">
                  <c:v>76.846034729541145</c:v>
                </c:pt>
                <c:pt idx="4">
                  <c:v>116.64840742616545</c:v>
                </c:pt>
                <c:pt idx="5">
                  <c:v>157.13355972868493</c:v>
                </c:pt>
                <c:pt idx="6">
                  <c:v>193.61564039147558</c:v>
                </c:pt>
                <c:pt idx="7">
                  <c:v>227.27484159512449</c:v>
                </c:pt>
                <c:pt idx="8">
                  <c:v>257.3855243868191</c:v>
                </c:pt>
                <c:pt idx="9">
                  <c:v>285.17069814820456</c:v>
                </c:pt>
                <c:pt idx="10">
                  <c:v>310.47478830754676</c:v>
                </c:pt>
                <c:pt idx="11">
                  <c:v>333.64269442344465</c:v>
                </c:pt>
                <c:pt idx="12">
                  <c:v>355.24170956582549</c:v>
                </c:pt>
                <c:pt idx="13">
                  <c:v>375.76077395108729</c:v>
                </c:pt>
                <c:pt idx="14">
                  <c:v>395.19988757923011</c:v>
                </c:pt>
                <c:pt idx="15">
                  <c:v>413.55905045025384</c:v>
                </c:pt>
                <c:pt idx="16">
                  <c:v>430.83826256415853</c:v>
                </c:pt>
                <c:pt idx="17">
                  <c:v>447.03752392094418</c:v>
                </c:pt>
                <c:pt idx="18">
                  <c:v>462.1568345206108</c:v>
                </c:pt>
                <c:pt idx="19">
                  <c:v>476.19619436315838</c:v>
                </c:pt>
                <c:pt idx="20">
                  <c:v>489.15560344858687</c:v>
                </c:pt>
                <c:pt idx="21">
                  <c:v>501.03506177689633</c:v>
                </c:pt>
                <c:pt idx="22">
                  <c:v>511.83456934808675</c:v>
                </c:pt>
                <c:pt idx="23">
                  <c:v>521.55412616215813</c:v>
                </c:pt>
                <c:pt idx="24">
                  <c:v>530.19373221911042</c:v>
                </c:pt>
                <c:pt idx="25">
                  <c:v>537.75338751894367</c:v>
                </c:pt>
                <c:pt idx="26">
                  <c:v>544.23309206165789</c:v>
                </c:pt>
                <c:pt idx="27">
                  <c:v>549.63284584725307</c:v>
                </c:pt>
                <c:pt idx="28">
                  <c:v>553.95264887572921</c:v>
                </c:pt>
                <c:pt idx="29">
                  <c:v>557.19250114708632</c:v>
                </c:pt>
                <c:pt idx="30">
                  <c:v>559.35240266132439</c:v>
                </c:pt>
                <c:pt idx="31">
                  <c:v>560.43235341844343</c:v>
                </c:pt>
                <c:pt idx="32">
                  <c:v>560.43235341844343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8FA7-4C06-BCD5-3A40C7DFA99B}"/>
            </c:ext>
          </c:extLst>
        </c:ser>
        <c:ser>
          <c:idx val="20"/>
          <c:order val="20"/>
          <c:tx>
            <c:strRef>
              <c:f>GasesSummary!$AD$62</c:f>
              <c:strCache>
                <c:ptCount val="1"/>
                <c:pt idx="0">
                  <c:v>CO2 E61%A33%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GasesSummary!$AD$63:$AD$95</c:f>
              <c:numCache>
                <c:formatCode>0.0</c:formatCode>
                <c:ptCount val="33"/>
                <c:pt idx="2">
                  <c:v>37.397075829274357</c:v>
                </c:pt>
                <c:pt idx="3">
                  <c:v>76.836658636047673</c:v>
                </c:pt>
                <c:pt idx="4">
                  <c:v>116.62027914568507</c:v>
                </c:pt>
                <c:pt idx="5">
                  <c:v>157.07730316772418</c:v>
                </c:pt>
                <c:pt idx="6">
                  <c:v>192.49688361418941</c:v>
                </c:pt>
                <c:pt idx="7">
                  <c:v>224.25681395341451</c:v>
                </c:pt>
                <c:pt idx="8">
                  <c:v>251.79790754886619</c:v>
                </c:pt>
                <c:pt idx="9">
                  <c:v>276.48821118058521</c:v>
                </c:pt>
                <c:pt idx="10">
                  <c:v>298.29382594663218</c:v>
                </c:pt>
                <c:pt idx="11">
                  <c:v>317.66283237359221</c:v>
                </c:pt>
                <c:pt idx="12">
                  <c:v>335.2491566082864</c:v>
                </c:pt>
                <c:pt idx="13">
                  <c:v>351.95616463124588</c:v>
                </c:pt>
                <c:pt idx="14">
                  <c:v>367.78385644247066</c:v>
                </c:pt>
                <c:pt idx="15">
                  <c:v>382.73223204196074</c:v>
                </c:pt>
                <c:pt idx="16">
                  <c:v>396.80129142971612</c:v>
                </c:pt>
                <c:pt idx="17">
                  <c:v>409.99103460573673</c:v>
                </c:pt>
                <c:pt idx="18">
                  <c:v>422.3014615700227</c:v>
                </c:pt>
                <c:pt idx="19">
                  <c:v>433.7325723225739</c:v>
                </c:pt>
                <c:pt idx="20">
                  <c:v>444.2843668633904</c:v>
                </c:pt>
                <c:pt idx="21">
                  <c:v>453.9568451924722</c:v>
                </c:pt>
                <c:pt idx="22">
                  <c:v>462.7500073098193</c:v>
                </c:pt>
                <c:pt idx="23">
                  <c:v>470.66385321543169</c:v>
                </c:pt>
                <c:pt idx="24">
                  <c:v>477.69838290930937</c:v>
                </c:pt>
                <c:pt idx="25">
                  <c:v>483.85359639145236</c:v>
                </c:pt>
                <c:pt idx="26">
                  <c:v>489.12949366186058</c:v>
                </c:pt>
                <c:pt idx="27">
                  <c:v>493.52607472053415</c:v>
                </c:pt>
                <c:pt idx="28">
                  <c:v>497.04333956747297</c:v>
                </c:pt>
                <c:pt idx="29">
                  <c:v>499.68128820267708</c:v>
                </c:pt>
                <c:pt idx="30">
                  <c:v>501.43992062614649</c:v>
                </c:pt>
                <c:pt idx="31">
                  <c:v>502.31923683788119</c:v>
                </c:pt>
                <c:pt idx="32">
                  <c:v>502.31923683788119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C-8FA7-4C06-BCD5-3A40C7DFA99B}"/>
            </c:ext>
          </c:extLst>
        </c:ser>
        <c:ser>
          <c:idx val="30"/>
          <c:order val="30"/>
          <c:tx>
            <c:strRef>
              <c:f>GasesSummary!$AN$62</c:f>
              <c:strCache>
                <c:ptCount val="1"/>
                <c:pt idx="0">
                  <c:v>CO2 E65%A26%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GasesSummary!$AN$63:$AN$95</c:f>
              <c:numCache>
                <c:formatCode>0.0</c:formatCode>
                <c:ptCount val="33"/>
                <c:pt idx="2">
                  <c:v>37.397075829274357</c:v>
                </c:pt>
                <c:pt idx="3">
                  <c:v>76.832908198650273</c:v>
                </c:pt>
                <c:pt idx="4">
                  <c:v>116.60902783349296</c:v>
                </c:pt>
                <c:pt idx="5">
                  <c:v>157.05480054333992</c:v>
                </c:pt>
                <c:pt idx="6">
                  <c:v>191.98435742533653</c:v>
                </c:pt>
                <c:pt idx="7">
                  <c:v>222.88840696938615</c:v>
                </c:pt>
                <c:pt idx="8">
                  <c:v>249.29926264264137</c:v>
                </c:pt>
                <c:pt idx="9">
                  <c:v>272.65992343773638</c:v>
                </c:pt>
                <c:pt idx="10">
                  <c:v>292.99781499030848</c:v>
                </c:pt>
                <c:pt idx="11">
                  <c:v>310.80968809486069</c:v>
                </c:pt>
                <c:pt idx="12">
                  <c:v>326.79035192326518</c:v>
                </c:pt>
                <c:pt idx="13">
                  <c:v>341.97198256024944</c:v>
                </c:pt>
                <c:pt idx="14">
                  <c:v>356.35458000581349</c:v>
                </c:pt>
                <c:pt idx="15">
                  <c:v>369.93814425995731</c:v>
                </c:pt>
                <c:pt idx="16">
                  <c:v>382.72267532268091</c:v>
                </c:pt>
                <c:pt idx="17">
                  <c:v>394.70817319398429</c:v>
                </c:pt>
                <c:pt idx="18">
                  <c:v>405.89463787386745</c:v>
                </c:pt>
                <c:pt idx="19">
                  <c:v>416.28206936233039</c:v>
                </c:pt>
                <c:pt idx="20">
                  <c:v>425.87046765937311</c:v>
                </c:pt>
                <c:pt idx="21">
                  <c:v>434.6598327649956</c:v>
                </c:pt>
                <c:pt idx="22">
                  <c:v>442.65016467919781</c:v>
                </c:pt>
                <c:pt idx="23">
                  <c:v>449.84146340197987</c:v>
                </c:pt>
                <c:pt idx="24">
                  <c:v>456.23372893334169</c:v>
                </c:pt>
                <c:pt idx="25">
                  <c:v>461.82696127328325</c:v>
                </c:pt>
                <c:pt idx="26">
                  <c:v>466.62116042180463</c:v>
                </c:pt>
                <c:pt idx="27">
                  <c:v>470.61632637890574</c:v>
                </c:pt>
                <c:pt idx="28">
                  <c:v>473.81245914458663</c:v>
                </c:pt>
                <c:pt idx="29">
                  <c:v>476.20955871884729</c:v>
                </c:pt>
                <c:pt idx="30">
                  <c:v>477.80762510168773</c:v>
                </c:pt>
                <c:pt idx="31">
                  <c:v>478.60665829310796</c:v>
                </c:pt>
                <c:pt idx="32">
                  <c:v>478.60665829310796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4-8FA7-4C06-BCD5-3A40C7DFA99B}"/>
            </c:ext>
          </c:extLst>
        </c:ser>
        <c:ser>
          <c:idx val="40"/>
          <c:order val="40"/>
          <c:tx>
            <c:strRef>
              <c:f>GasesSummary!$AX$62</c:f>
              <c:strCache>
                <c:ptCount val="1"/>
                <c:pt idx="0">
                  <c:v>CO2 E69%A19%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GasesSummary!$AX$63:$AX$95</c:f>
              <c:numCache>
                <c:formatCode>0.0</c:formatCode>
                <c:ptCount val="33"/>
                <c:pt idx="2">
                  <c:v>41.81151164486662</c:v>
                </c:pt>
                <c:pt idx="3">
                  <c:v>83.62302328973324</c:v>
                </c:pt>
                <c:pt idx="4">
                  <c:v>122.30619666177355</c:v>
                </c:pt>
                <c:pt idx="5">
                  <c:v>157.86103176098754</c:v>
                </c:pt>
                <c:pt idx="6">
                  <c:v>190.28752858737522</c:v>
                </c:pt>
                <c:pt idx="7">
                  <c:v>219.58568714093659</c:v>
                </c:pt>
                <c:pt idx="8">
                  <c:v>245.75550742167164</c:v>
                </c:pt>
                <c:pt idx="9">
                  <c:v>268.79698942958038</c:v>
                </c:pt>
                <c:pt idx="10">
                  <c:v>288.71013316466281</c:v>
                </c:pt>
                <c:pt idx="11">
                  <c:v>305.49493862691895</c:v>
                </c:pt>
                <c:pt idx="12">
                  <c:v>319.15140581634876</c:v>
                </c:pt>
                <c:pt idx="13">
                  <c:v>332.1250496463071</c:v>
                </c:pt>
                <c:pt idx="14">
                  <c:v>344.41587011679394</c:v>
                </c:pt>
                <c:pt idx="15">
                  <c:v>356.02386722780926</c:v>
                </c:pt>
                <c:pt idx="16">
                  <c:v>366.94904097935313</c:v>
                </c:pt>
                <c:pt idx="17">
                  <c:v>377.19139137142548</c:v>
                </c:pt>
                <c:pt idx="18">
                  <c:v>386.75091840402638</c:v>
                </c:pt>
                <c:pt idx="19">
                  <c:v>395.62762207715576</c:v>
                </c:pt>
                <c:pt idx="20">
                  <c:v>403.82150239081363</c:v>
                </c:pt>
                <c:pt idx="21">
                  <c:v>411.33255934500005</c:v>
                </c:pt>
                <c:pt idx="22">
                  <c:v>418.16079293971495</c:v>
                </c:pt>
                <c:pt idx="23">
                  <c:v>424.3062031749584</c:v>
                </c:pt>
                <c:pt idx="24">
                  <c:v>429.76879005073033</c:v>
                </c:pt>
                <c:pt idx="25">
                  <c:v>434.54855356703075</c:v>
                </c:pt>
                <c:pt idx="26">
                  <c:v>438.64549372385972</c:v>
                </c:pt>
                <c:pt idx="27">
                  <c:v>442.05961052121717</c:v>
                </c:pt>
                <c:pt idx="28">
                  <c:v>444.79090395910316</c:v>
                </c:pt>
                <c:pt idx="29">
                  <c:v>446.83937403751764</c:v>
                </c:pt>
                <c:pt idx="30">
                  <c:v>448.20502075646061</c:v>
                </c:pt>
                <c:pt idx="31">
                  <c:v>448.88784411593213</c:v>
                </c:pt>
                <c:pt idx="32">
                  <c:v>448.88784411593213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8FA7-4C06-BCD5-3A40C7DFA99B}"/>
            </c:ext>
          </c:extLst>
        </c:ser>
        <c:ser>
          <c:idx val="50"/>
          <c:order val="50"/>
          <c:tx>
            <c:strRef>
              <c:f>GasesSummary!$BH$62</c:f>
              <c:strCache>
                <c:ptCount val="1"/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GasesSummary!$BH$63:$BH$95</c:f>
              <c:numCache>
                <c:formatCode>0.0</c:formatCode>
                <c:ptCount val="33"/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4-8FA7-4C06-BCD5-3A40C7DFA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120224"/>
        <c:axId val="63912678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GasesSummary!$K$62</c15:sqref>
                        </c15:formulaRef>
                      </c:ext>
                    </c:extLst>
                    <c:strCache>
                      <c:ptCount val="1"/>
                      <c:pt idx="0">
                        <c:v>CH4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GasesSummary!$K$63:$K$95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1.793918446691122</c:v>
                      </c:pt>
                      <c:pt idx="5">
                        <c:v>2.3554887977144854</c:v>
                      </c:pt>
                      <c:pt idx="6">
                        <c:v>2.8867973870714465</c:v>
                      </c:pt>
                      <c:pt idx="7">
                        <c:v>3.3921932426552197</c:v>
                      </c:pt>
                      <c:pt idx="8">
                        <c:v>3.8673851144186622</c:v>
                      </c:pt>
                      <c:pt idx="9">
                        <c:v>4.3170827447625886</c:v>
                      </c:pt>
                      <c:pt idx="10">
                        <c:v>4.7397591979720932</c:v>
                      </c:pt>
                      <c:pt idx="11">
                        <c:v>5.136239897251845</c:v>
                      </c:pt>
                      <c:pt idx="12">
                        <c:v>5.5084346742561294</c:v>
                      </c:pt>
                      <c:pt idx="13">
                        <c:v>5.8806294512604138</c:v>
                      </c:pt>
                      <c:pt idx="14">
                        <c:v>6.2528242282646982</c:v>
                      </c:pt>
                      <c:pt idx="15">
                        <c:v>6.6250190052689826</c:v>
                      </c:pt>
                      <c:pt idx="16">
                        <c:v>6.997213782273267</c:v>
                      </c:pt>
                      <c:pt idx="17">
                        <c:v>7.3694085592775513</c:v>
                      </c:pt>
                      <c:pt idx="18">
                        <c:v>7.7416033362818357</c:v>
                      </c:pt>
                      <c:pt idx="19">
                        <c:v>8.1137981132861192</c:v>
                      </c:pt>
                      <c:pt idx="20">
                        <c:v>8.4859928902904027</c:v>
                      </c:pt>
                      <c:pt idx="21">
                        <c:v>8.8581876672946862</c:v>
                      </c:pt>
                      <c:pt idx="22">
                        <c:v>9.2303824442989697</c:v>
                      </c:pt>
                      <c:pt idx="23">
                        <c:v>9.6025772213032532</c:v>
                      </c:pt>
                      <c:pt idx="24">
                        <c:v>9.9747719983075367</c:v>
                      </c:pt>
                      <c:pt idx="25">
                        <c:v>10.34696677531182</c:v>
                      </c:pt>
                      <c:pt idx="26">
                        <c:v>10.719161552316104</c:v>
                      </c:pt>
                      <c:pt idx="27">
                        <c:v>11.091356329320387</c:v>
                      </c:pt>
                      <c:pt idx="28">
                        <c:v>11.463551106324671</c:v>
                      </c:pt>
                      <c:pt idx="29">
                        <c:v>11.835745883328954</c:v>
                      </c:pt>
                      <c:pt idx="30">
                        <c:v>12.207940660333238</c:v>
                      </c:pt>
                      <c:pt idx="31">
                        <c:v>12.580135437337521</c:v>
                      </c:pt>
                      <c:pt idx="32">
                        <c:v>12.952330214341805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D-8FA7-4C06-BCD5-3A40C7DFA99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GasesSummary!$L$62</c15:sqref>
                        </c15:formulaRef>
                      </c:ext>
                    </c:extLst>
                    <c:strCache>
                      <c:ptCount val="1"/>
                      <c:pt idx="0">
                        <c:v>N2O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GasesSummary!$L$63:$L$95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7.1792359921661691E-2</c:v>
                      </c:pt>
                      <c:pt idx="5">
                        <c:v>9.4560006985588835E-2</c:v>
                      </c:pt>
                      <c:pt idx="6">
                        <c:v>0.11602108082651941</c:v>
                      </c:pt>
                      <c:pt idx="7">
                        <c:v>0.1364899660716733</c:v>
                      </c:pt>
                      <c:pt idx="8">
                        <c:v>0.15565645476665149</c:v>
                      </c:pt>
                      <c:pt idx="9">
                        <c:v>0.17386100704308294</c:v>
                      </c:pt>
                      <c:pt idx="10">
                        <c:v>0.19099324303509732</c:v>
                      </c:pt>
                      <c:pt idx="11">
                        <c:v>0.20711283133366953</c:v>
                      </c:pt>
                      <c:pt idx="12">
                        <c:v>0.22235783077112431</c:v>
                      </c:pt>
                      <c:pt idx="13">
                        <c:v>0.23760283020857909</c:v>
                      </c:pt>
                      <c:pt idx="14">
                        <c:v>0.25284782964603386</c:v>
                      </c:pt>
                      <c:pt idx="15">
                        <c:v>0.26809282908348864</c:v>
                      </c:pt>
                      <c:pt idx="16">
                        <c:v>0.28333782852094341</c:v>
                      </c:pt>
                      <c:pt idx="17">
                        <c:v>0.29858282795839819</c:v>
                      </c:pt>
                      <c:pt idx="18">
                        <c:v>0.31382782739585297</c:v>
                      </c:pt>
                      <c:pt idx="19">
                        <c:v>0.32907282683330774</c:v>
                      </c:pt>
                      <c:pt idx="20">
                        <c:v>0.34431782627076252</c:v>
                      </c:pt>
                      <c:pt idx="21">
                        <c:v>0.35956282570821729</c:v>
                      </c:pt>
                      <c:pt idx="22">
                        <c:v>0.37480782514567207</c:v>
                      </c:pt>
                      <c:pt idx="23">
                        <c:v>0.39005282458312684</c:v>
                      </c:pt>
                      <c:pt idx="24">
                        <c:v>0.40529782402058162</c:v>
                      </c:pt>
                      <c:pt idx="25">
                        <c:v>0.4205428234580364</c:v>
                      </c:pt>
                      <c:pt idx="26">
                        <c:v>0.43578782289549117</c:v>
                      </c:pt>
                      <c:pt idx="27">
                        <c:v>0.45103282233294595</c:v>
                      </c:pt>
                      <c:pt idx="28">
                        <c:v>0.46627782177040072</c:v>
                      </c:pt>
                      <c:pt idx="29">
                        <c:v>0.4815228212078555</c:v>
                      </c:pt>
                      <c:pt idx="30">
                        <c:v>0.49676782064531028</c:v>
                      </c:pt>
                      <c:pt idx="31">
                        <c:v>0.51201282008276505</c:v>
                      </c:pt>
                      <c:pt idx="32">
                        <c:v>0.52725781952021988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FA7-4C06-BCD5-3A40C7DFA99B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GasesSummary!$M$63:$M$95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50.229716507351412</c:v>
                      </c:pt>
                      <c:pt idx="5">
                        <c:v>65.953686336005589</c:v>
                      </c:pt>
                      <c:pt idx="6">
                        <c:v>80.830326838000502</c:v>
                      </c:pt>
                      <c:pt idx="7">
                        <c:v>94.981410794346147</c:v>
                      </c:pt>
                      <c:pt idx="8">
                        <c:v>108.28678320372254</c:v>
                      </c:pt>
                      <c:pt idx="9">
                        <c:v>120.87831685335246</c:v>
                      </c:pt>
                      <c:pt idx="10">
                        <c:v>132.71325754321859</c:v>
                      </c:pt>
                      <c:pt idx="11">
                        <c:v>143.81471712305165</c:v>
                      </c:pt>
                      <c:pt idx="12">
                        <c:v>154.2361708791716</c:v>
                      </c:pt>
                      <c:pt idx="13">
                        <c:v>164.65762463529154</c:v>
                      </c:pt>
                      <c:pt idx="14">
                        <c:v>175.07907839141149</c:v>
                      </c:pt>
                      <c:pt idx="15">
                        <c:v>185.50053214753143</c:v>
                      </c:pt>
                      <c:pt idx="16">
                        <c:v>195.92198590365138</c:v>
                      </c:pt>
                      <c:pt idx="17">
                        <c:v>206.34343965977132</c:v>
                      </c:pt>
                      <c:pt idx="18">
                        <c:v>216.76489341589127</c:v>
                      </c:pt>
                      <c:pt idx="19">
                        <c:v>227.18634717201121</c:v>
                      </c:pt>
                      <c:pt idx="20">
                        <c:v>237.60780092813116</c:v>
                      </c:pt>
                      <c:pt idx="21">
                        <c:v>248.0292546842511</c:v>
                      </c:pt>
                      <c:pt idx="22">
                        <c:v>258.45070844037105</c:v>
                      </c:pt>
                      <c:pt idx="23">
                        <c:v>268.87216219649099</c:v>
                      </c:pt>
                      <c:pt idx="24">
                        <c:v>279.29361595261093</c:v>
                      </c:pt>
                      <c:pt idx="25">
                        <c:v>289.71506970873088</c:v>
                      </c:pt>
                      <c:pt idx="26">
                        <c:v>300.13652346485082</c:v>
                      </c:pt>
                      <c:pt idx="27">
                        <c:v>310.55797722097077</c:v>
                      </c:pt>
                      <c:pt idx="28">
                        <c:v>320.97943097709071</c:v>
                      </c:pt>
                      <c:pt idx="29">
                        <c:v>331.40088473321066</c:v>
                      </c:pt>
                      <c:pt idx="30">
                        <c:v>341.8223384893306</c:v>
                      </c:pt>
                      <c:pt idx="31">
                        <c:v>352.24379224545055</c:v>
                      </c:pt>
                      <c:pt idx="32">
                        <c:v>362.66524600157049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FA7-4C06-BCD5-3A40C7DFA99B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GasesSummary!$N$62</c15:sqref>
                        </c15:formulaRef>
                      </c:ext>
                    </c:extLst>
                    <c:strCache>
                      <c:ptCount val="1"/>
                      <c:pt idx="0">
                        <c:v>N2O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GasesSummary!$N$63:$N$95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6.4106200065022279</c:v>
                      </c:pt>
                      <c:pt idx="3">
                        <c:v>12.847083823328958</c:v>
                      </c:pt>
                      <c:pt idx="4">
                        <c:v>19.024975379240345</c:v>
                      </c:pt>
                      <c:pt idx="5">
                        <c:v>25.058401851181038</c:v>
                      </c:pt>
                      <c:pt idx="6">
                        <c:v>30.745586419027642</c:v>
                      </c:pt>
                      <c:pt idx="7">
                        <c:v>36.16984100899343</c:v>
                      </c:pt>
                      <c:pt idx="8">
                        <c:v>41.24896051316265</c:v>
                      </c:pt>
                      <c:pt idx="9">
                        <c:v>46.073166866416983</c:v>
                      </c:pt>
                      <c:pt idx="10">
                        <c:v>50.61320940430079</c:v>
                      </c:pt>
                      <c:pt idx="11">
                        <c:v>54.88490030342242</c:v>
                      </c:pt>
                      <c:pt idx="12">
                        <c:v>58.924825154347936</c:v>
                      </c:pt>
                      <c:pt idx="13">
                        <c:v>62.964750005273451</c:v>
                      </c:pt>
                      <c:pt idx="14">
                        <c:v>67.004674856198974</c:v>
                      </c:pt>
                      <c:pt idx="15">
                        <c:v>71.04459970712449</c:v>
                      </c:pt>
                      <c:pt idx="16">
                        <c:v>75.084524558050006</c:v>
                      </c:pt>
                      <c:pt idx="17">
                        <c:v>79.124449408975522</c:v>
                      </c:pt>
                      <c:pt idx="18">
                        <c:v>83.164374259901038</c:v>
                      </c:pt>
                      <c:pt idx="19">
                        <c:v>87.204299110826554</c:v>
                      </c:pt>
                      <c:pt idx="20">
                        <c:v>91.24422396175207</c:v>
                      </c:pt>
                      <c:pt idx="21">
                        <c:v>95.284148812677586</c:v>
                      </c:pt>
                      <c:pt idx="22">
                        <c:v>99.324073663603102</c:v>
                      </c:pt>
                      <c:pt idx="23">
                        <c:v>103.36399851452862</c:v>
                      </c:pt>
                      <c:pt idx="24">
                        <c:v>107.40392336545413</c:v>
                      </c:pt>
                      <c:pt idx="25">
                        <c:v>111.44384821637965</c:v>
                      </c:pt>
                      <c:pt idx="26">
                        <c:v>115.48377306730517</c:v>
                      </c:pt>
                      <c:pt idx="27">
                        <c:v>119.52369791823068</c:v>
                      </c:pt>
                      <c:pt idx="28">
                        <c:v>123.5636227691562</c:v>
                      </c:pt>
                      <c:pt idx="29">
                        <c:v>127.60354762008171</c:v>
                      </c:pt>
                      <c:pt idx="30">
                        <c:v>131.64347247100724</c:v>
                      </c:pt>
                      <c:pt idx="31">
                        <c:v>135.68339732193277</c:v>
                      </c:pt>
                      <c:pt idx="32">
                        <c:v>139.7233221728583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FA7-4C06-BCD5-3A40C7DFA99B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GasesSummary!$O$62</c15:sqref>
                        </c15:formulaRef>
                      </c:ext>
                    </c:extLst>
                    <c:strCache>
                      <c:ptCount val="1"/>
                      <c:pt idx="0">
                        <c:v>GWP100 E57%-A40%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GasesSummary!$O$63:$O$95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123.64083710558491</c:v>
                      </c:pt>
                      <c:pt idx="4">
                        <c:v>185.88622234446893</c:v>
                      </c:pt>
                      <c:pt idx="5">
                        <c:v>248.11189397929513</c:v>
                      </c:pt>
                      <c:pt idx="6">
                        <c:v>304.54444003501936</c:v>
                      </c:pt>
                      <c:pt idx="7">
                        <c:v>356.67621198887133</c:v>
                      </c:pt>
                      <c:pt idx="8">
                        <c:v>403.66973747713018</c:v>
                      </c:pt>
                      <c:pt idx="9">
                        <c:v>447.04993984293105</c:v>
                      </c:pt>
                      <c:pt idx="10">
                        <c:v>486.65737802515167</c:v>
                      </c:pt>
                      <c:pt idx="11">
                        <c:v>522.93330652487361</c:v>
                      </c:pt>
                      <c:pt idx="12">
                        <c:v>556.58569636754464</c:v>
                      </c:pt>
                      <c:pt idx="13">
                        <c:v>589.07653940588807</c:v>
                      </c:pt>
                      <c:pt idx="14">
                        <c:v>620.4058356399039</c:v>
                      </c:pt>
                      <c:pt idx="15">
                        <c:v>650.57358506959224</c:v>
                      </c:pt>
                      <c:pt idx="16">
                        <c:v>679.57978769495298</c:v>
                      </c:pt>
                      <c:pt idx="17">
                        <c:v>707.42444351598624</c:v>
                      </c:pt>
                      <c:pt idx="18">
                        <c:v>734.1075525326919</c:v>
                      </c:pt>
                      <c:pt idx="19">
                        <c:v>759.62911474507007</c:v>
                      </c:pt>
                      <c:pt idx="20">
                        <c:v>783.98913015312064</c:v>
                      </c:pt>
                      <c:pt idx="21">
                        <c:v>807.18759875684361</c:v>
                      </c:pt>
                      <c:pt idx="22">
                        <c:v>829.2245205562391</c:v>
                      </c:pt>
                      <c:pt idx="23">
                        <c:v>850.09989555130699</c:v>
                      </c:pt>
                      <c:pt idx="24">
                        <c:v>869.81372374204739</c:v>
                      </c:pt>
                      <c:pt idx="25">
                        <c:v>888.36600512846019</c:v>
                      </c:pt>
                      <c:pt idx="26">
                        <c:v>905.75673971054539</c:v>
                      </c:pt>
                      <c:pt idx="27">
                        <c:v>921.9859274883031</c:v>
                      </c:pt>
                      <c:pt idx="28">
                        <c:v>937.05356846173322</c:v>
                      </c:pt>
                      <c:pt idx="29">
                        <c:v>950.95966263083585</c:v>
                      </c:pt>
                      <c:pt idx="30">
                        <c:v>963.70420999561088</c:v>
                      </c:pt>
                      <c:pt idx="31">
                        <c:v>975.28721055605843</c:v>
                      </c:pt>
                      <c:pt idx="32">
                        <c:v>985.70866431217837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FA7-4C06-BCD5-3A40C7DFA99B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GasesSummary!$P$63:$P$95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FA7-4C06-BCD5-3A40C7DFA99B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GasesSummary!$Q$63:$Q$95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FA7-4C06-BCD5-3A40C7DFA99B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GasesSummary!$R$62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GasesSummary!$R$63:$R$95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-0.20199624254627588</c:v>
                      </c:pt>
                      <c:pt idx="14">
                        <c:v>-0.60598872763882761</c:v>
                      </c:pt>
                      <c:pt idx="15">
                        <c:v>-1.2119774552776552</c:v>
                      </c:pt>
                      <c:pt idx="16">
                        <c:v>-2.0199624254627588</c:v>
                      </c:pt>
                      <c:pt idx="17">
                        <c:v>-3.0299436381941383</c:v>
                      </c:pt>
                      <c:pt idx="18">
                        <c:v>-4.2419210934717935</c:v>
                      </c:pt>
                      <c:pt idx="19">
                        <c:v>-5.655894791295724</c:v>
                      </c:pt>
                      <c:pt idx="20">
                        <c:v>-7.2718647316659304</c:v>
                      </c:pt>
                      <c:pt idx="21">
                        <c:v>-9.0898309145824125</c:v>
                      </c:pt>
                      <c:pt idx="22">
                        <c:v>-11.10979334004517</c:v>
                      </c:pt>
                      <c:pt idx="23">
                        <c:v>-13.331752008054204</c:v>
                      </c:pt>
                      <c:pt idx="24">
                        <c:v>-15.755706918609514</c:v>
                      </c:pt>
                      <c:pt idx="25">
                        <c:v>-18.381658071711101</c:v>
                      </c:pt>
                      <c:pt idx="26">
                        <c:v>-21.209605467358962</c:v>
                      </c:pt>
                      <c:pt idx="27">
                        <c:v>-24.239549105553099</c:v>
                      </c:pt>
                      <c:pt idx="28">
                        <c:v>-27.471488986293512</c:v>
                      </c:pt>
                      <c:pt idx="29">
                        <c:v>-30.9054251095802</c:v>
                      </c:pt>
                      <c:pt idx="30">
                        <c:v>-34.541357475413164</c:v>
                      </c:pt>
                      <c:pt idx="31">
                        <c:v>-38.379286083792408</c:v>
                      </c:pt>
                      <c:pt idx="32">
                        <c:v>-42.419210934717924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FA7-4C06-BCD5-3A40C7DFA99B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>
                    <a:solidFill>
                      <a:schemeClr val="accent4">
                        <a:lumMod val="6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GasesSummary!$S$63:$S$95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FA7-4C06-BCD5-3A40C7DFA99B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GasesSummary!$U$62</c15:sqref>
                        </c15:formulaRef>
                      </c:ext>
                    </c:extLst>
                    <c:strCache>
                      <c:ptCount val="1"/>
                      <c:pt idx="0">
                        <c:v>CH4 E51%A51%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GasesSummary!$U$63:$U$95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1.7865169934403557</c:v>
                      </c:pt>
                      <c:pt idx="5">
                        <c:v>2.3332844379621869</c:v>
                      </c:pt>
                      <c:pt idx="6">
                        <c:v>2.8423886675668495</c:v>
                      </c:pt>
                      <c:pt idx="7">
                        <c:v>3.3181787101475582</c:v>
                      </c:pt>
                      <c:pt idx="8">
                        <c:v>3.7563633156571701</c:v>
                      </c:pt>
                      <c:pt idx="9">
                        <c:v>4.161652226496499</c:v>
                      </c:pt>
                      <c:pt idx="10">
                        <c:v>4.5325185069506402</c:v>
                      </c:pt>
                      <c:pt idx="11">
                        <c:v>4.8697875802242629</c:v>
                      </c:pt>
                      <c:pt idx="12">
                        <c:v>5.1753692779716509</c:v>
                      </c:pt>
                      <c:pt idx="13">
                        <c:v>5.4809509757190398</c:v>
                      </c:pt>
                      <c:pt idx="14">
                        <c:v>5.7865326734664286</c:v>
                      </c:pt>
                      <c:pt idx="15">
                        <c:v>6.0921143712138175</c:v>
                      </c:pt>
                      <c:pt idx="16">
                        <c:v>6.3976960689612064</c:v>
                      </c:pt>
                      <c:pt idx="17">
                        <c:v>6.7032777667085952</c:v>
                      </c:pt>
                      <c:pt idx="18">
                        <c:v>7.0088594644559841</c:v>
                      </c:pt>
                      <c:pt idx="19">
                        <c:v>7.3144411622033729</c:v>
                      </c:pt>
                      <c:pt idx="20">
                        <c:v>7.6200228599507618</c:v>
                      </c:pt>
                      <c:pt idx="21">
                        <c:v>7.9256045576981506</c:v>
                      </c:pt>
                      <c:pt idx="22">
                        <c:v>8.2311862554455395</c:v>
                      </c:pt>
                      <c:pt idx="23">
                        <c:v>8.5367679531929284</c:v>
                      </c:pt>
                      <c:pt idx="24">
                        <c:v>8.8423496509403172</c:v>
                      </c:pt>
                      <c:pt idx="25">
                        <c:v>9.1479313486877061</c:v>
                      </c:pt>
                      <c:pt idx="26">
                        <c:v>9.4535130464350949</c:v>
                      </c:pt>
                      <c:pt idx="27">
                        <c:v>9.7590947441824838</c:v>
                      </c:pt>
                      <c:pt idx="28">
                        <c:v>10.064676441929873</c:v>
                      </c:pt>
                      <c:pt idx="29">
                        <c:v>10.370258139677262</c:v>
                      </c:pt>
                      <c:pt idx="30">
                        <c:v>10.67583983742465</c:v>
                      </c:pt>
                      <c:pt idx="31">
                        <c:v>10.981421535172039</c:v>
                      </c:pt>
                      <c:pt idx="32">
                        <c:v>11.287003232919428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FA7-4C06-BCD5-3A40C7DFA99B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GasesSummary!$V$62</c15:sqref>
                        </c15:formulaRef>
                      </c:ext>
                    </c:extLst>
                    <c:strCache>
                      <c:ptCount val="1"/>
                      <c:pt idx="0">
                        <c:v>N2O E51%A0%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GasesSummary!$V$63:$V$95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7.1494846686875071E-2</c:v>
                      </c:pt>
                      <c:pt idx="5">
                        <c:v>9.3667467281229003E-2</c:v>
                      </c:pt>
                      <c:pt idx="6">
                        <c:v>0.11423600141779974</c:v>
                      </c:pt>
                      <c:pt idx="7">
                        <c:v>0.13351483372380721</c:v>
                      </c:pt>
                      <c:pt idx="8">
                        <c:v>0.15119375624485237</c:v>
                      </c:pt>
                      <c:pt idx="9">
                        <c:v>0.16761322911256415</c:v>
                      </c:pt>
                      <c:pt idx="10">
                        <c:v>0.18266287246107227</c:v>
                      </c:pt>
                      <c:pt idx="11">
                        <c:v>0.1964023548813516</c:v>
                      </c:pt>
                      <c:pt idx="12">
                        <c:v>0.2089697352057269</c:v>
                      </c:pt>
                      <c:pt idx="13">
                        <c:v>0.22153711553010219</c:v>
                      </c:pt>
                      <c:pt idx="14">
                        <c:v>0.23410449585447748</c:v>
                      </c:pt>
                      <c:pt idx="15">
                        <c:v>0.24667187617885278</c:v>
                      </c:pt>
                      <c:pt idx="16">
                        <c:v>0.2592392565032281</c:v>
                      </c:pt>
                      <c:pt idx="17">
                        <c:v>0.27180663682760342</c:v>
                      </c:pt>
                      <c:pt idx="18">
                        <c:v>0.28437401715197874</c:v>
                      </c:pt>
                      <c:pt idx="19">
                        <c:v>0.29694139747635406</c:v>
                      </c:pt>
                      <c:pt idx="20">
                        <c:v>0.30950877780072938</c:v>
                      </c:pt>
                      <c:pt idx="21">
                        <c:v>0.32207615812510471</c:v>
                      </c:pt>
                      <c:pt idx="22">
                        <c:v>0.33464353844948003</c:v>
                      </c:pt>
                      <c:pt idx="23">
                        <c:v>0.34721091877385535</c:v>
                      </c:pt>
                      <c:pt idx="24">
                        <c:v>0.35977829909823067</c:v>
                      </c:pt>
                      <c:pt idx="25">
                        <c:v>0.37234567942260599</c:v>
                      </c:pt>
                      <c:pt idx="26">
                        <c:v>0.38491305974698131</c:v>
                      </c:pt>
                      <c:pt idx="27">
                        <c:v>0.39748044007135663</c:v>
                      </c:pt>
                      <c:pt idx="28">
                        <c:v>0.41004782039573195</c:v>
                      </c:pt>
                      <c:pt idx="29">
                        <c:v>0.42261520072010728</c:v>
                      </c:pt>
                      <c:pt idx="30">
                        <c:v>0.4351825810444826</c:v>
                      </c:pt>
                      <c:pt idx="31">
                        <c:v>0.44774996136885792</c:v>
                      </c:pt>
                      <c:pt idx="32">
                        <c:v>0.46031734169323324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FA7-4C06-BCD5-3A40C7DFA99B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GasesSummary!$W$63:$W$95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50.022475816329958</c:v>
                      </c:pt>
                      <c:pt idx="5">
                        <c:v>65.331964262941227</c:v>
                      </c:pt>
                      <c:pt idx="6">
                        <c:v>79.586882691871779</c:v>
                      </c:pt>
                      <c:pt idx="7">
                        <c:v>92.909003884131621</c:v>
                      </c:pt>
                      <c:pt idx="8">
                        <c:v>105.17817283840074</c:v>
                      </c:pt>
                      <c:pt idx="9">
                        <c:v>116.52626234190195</c:v>
                      </c:pt>
                      <c:pt idx="10">
                        <c:v>126.91051819461791</c:v>
                      </c:pt>
                      <c:pt idx="11">
                        <c:v>136.35405224627934</c:v>
                      </c:pt>
                      <c:pt idx="12">
                        <c:v>144.91033978320621</c:v>
                      </c:pt>
                      <c:pt idx="13">
                        <c:v>153.46662732013309</c:v>
                      </c:pt>
                      <c:pt idx="14">
                        <c:v>162.02291485705996</c:v>
                      </c:pt>
                      <c:pt idx="15">
                        <c:v>170.57920239398683</c:v>
                      </c:pt>
                      <c:pt idx="16">
                        <c:v>179.13548993091371</c:v>
                      </c:pt>
                      <c:pt idx="17">
                        <c:v>187.69177746784058</c:v>
                      </c:pt>
                      <c:pt idx="18">
                        <c:v>196.24806500476745</c:v>
                      </c:pt>
                      <c:pt idx="19">
                        <c:v>204.80435254169433</c:v>
                      </c:pt>
                      <c:pt idx="20">
                        <c:v>213.3606400786212</c:v>
                      </c:pt>
                      <c:pt idx="21">
                        <c:v>221.91692761554808</c:v>
                      </c:pt>
                      <c:pt idx="22">
                        <c:v>230.47321515247495</c:v>
                      </c:pt>
                      <c:pt idx="23">
                        <c:v>239.02950268940182</c:v>
                      </c:pt>
                      <c:pt idx="24">
                        <c:v>247.5857902263287</c:v>
                      </c:pt>
                      <c:pt idx="25">
                        <c:v>256.1420777632556</c:v>
                      </c:pt>
                      <c:pt idx="26">
                        <c:v>264.6983653001825</c:v>
                      </c:pt>
                      <c:pt idx="27">
                        <c:v>273.2546528371094</c:v>
                      </c:pt>
                      <c:pt idx="28">
                        <c:v>281.81094037403631</c:v>
                      </c:pt>
                      <c:pt idx="29">
                        <c:v>290.36722791096321</c:v>
                      </c:pt>
                      <c:pt idx="30">
                        <c:v>298.92351544789011</c:v>
                      </c:pt>
                      <c:pt idx="31">
                        <c:v>307.47980298481701</c:v>
                      </c:pt>
                      <c:pt idx="32">
                        <c:v>316.03609052174392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FA7-4C06-BCD5-3A40C7DFA99B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GasesSummary!$X$62</c15:sqref>
                        </c15:formulaRef>
                      </c:ext>
                    </c:extLst>
                    <c:strCache>
                      <c:ptCount val="1"/>
                      <c:pt idx="0">
                        <c:v>N2O E51%A0%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GasesSummary!$X$63:$X$95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6.4106200065022279</c:v>
                      </c:pt>
                      <c:pt idx="3">
                        <c:v>12.847083823328958</c:v>
                      </c:pt>
                      <c:pt idx="4">
                        <c:v>18.946134372021895</c:v>
                      </c:pt>
                      <c:pt idx="5">
                        <c:v>24.821878829525687</c:v>
                      </c:pt>
                      <c:pt idx="6">
                        <c:v>30.272540375716936</c:v>
                      </c:pt>
                      <c:pt idx="7">
                        <c:v>35.381430936808911</c:v>
                      </c:pt>
                      <c:pt idx="8">
                        <c:v>40.06634540488588</c:v>
                      </c:pt>
                      <c:pt idx="9">
                        <c:v>44.417505714829502</c:v>
                      </c:pt>
                      <c:pt idx="10">
                        <c:v>48.405661202184149</c:v>
                      </c:pt>
                      <c:pt idx="11">
                        <c:v>52.046624043558168</c:v>
                      </c:pt>
                      <c:pt idx="12">
                        <c:v>55.376979829517623</c:v>
                      </c:pt>
                      <c:pt idx="13">
                        <c:v>58.707335615477078</c:v>
                      </c:pt>
                      <c:pt idx="14">
                        <c:v>62.037691401436533</c:v>
                      </c:pt>
                      <c:pt idx="15">
                        <c:v>65.368047187395987</c:v>
                      </c:pt>
                      <c:pt idx="16">
                        <c:v>68.698402973355442</c:v>
                      </c:pt>
                      <c:pt idx="17">
                        <c:v>72.028758759314897</c:v>
                      </c:pt>
                      <c:pt idx="18">
                        <c:v>75.359114545274352</c:v>
                      </c:pt>
                      <c:pt idx="19">
                        <c:v>78.689470331233807</c:v>
                      </c:pt>
                      <c:pt idx="20">
                        <c:v>82.019826117193261</c:v>
                      </c:pt>
                      <c:pt idx="21">
                        <c:v>85.350181903152716</c:v>
                      </c:pt>
                      <c:pt idx="22">
                        <c:v>88.680537689112171</c:v>
                      </c:pt>
                      <c:pt idx="23">
                        <c:v>92.010893475071626</c:v>
                      </c:pt>
                      <c:pt idx="24">
                        <c:v>95.341249261031081</c:v>
                      </c:pt>
                      <c:pt idx="25">
                        <c:v>98.671605046990535</c:v>
                      </c:pt>
                      <c:pt idx="26">
                        <c:v>102.00196083294999</c:v>
                      </c:pt>
                      <c:pt idx="27">
                        <c:v>105.33231661890945</c:v>
                      </c:pt>
                      <c:pt idx="28">
                        <c:v>108.6626724048689</c:v>
                      </c:pt>
                      <c:pt idx="29">
                        <c:v>111.99302819082835</c:v>
                      </c:pt>
                      <c:pt idx="30">
                        <c:v>115.32338397678781</c:v>
                      </c:pt>
                      <c:pt idx="31">
                        <c:v>118.65373976274726</c:v>
                      </c:pt>
                      <c:pt idx="32">
                        <c:v>121.98409554870672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FA7-4C06-BCD5-3A40C7DFA99B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GasesSummary!$Y$62</c15:sqref>
                        </c15:formulaRef>
                      </c:ext>
                    </c:extLst>
                    <c:strCache>
                      <c:ptCount val="1"/>
                      <c:pt idx="0">
                        <c:v>GWP100 E51%-A51%</c:v>
                      </c:pt>
                    </c:strCache>
                  </c:strRef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GasesSummary!$Y$63:$Y$95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123.64646276168102</c:v>
                      </c:pt>
                      <c:pt idx="4">
                        <c:v>185.61701761451729</c:v>
                      </c:pt>
                      <c:pt idx="5">
                        <c:v>247.28740282115183</c:v>
                      </c:pt>
                      <c:pt idx="6">
                        <c:v>303.4750634590643</c:v>
                      </c:pt>
                      <c:pt idx="7">
                        <c:v>355.56527641606499</c:v>
                      </c:pt>
                      <c:pt idx="8">
                        <c:v>402.63004263010566</c:v>
                      </c:pt>
                      <c:pt idx="9">
                        <c:v>446.11446620493598</c:v>
                      </c:pt>
                      <c:pt idx="10">
                        <c:v>485.79096770434876</c:v>
                      </c:pt>
                      <c:pt idx="11">
                        <c:v>522.04337071328212</c:v>
                      </c:pt>
                      <c:pt idx="12">
                        <c:v>555.52902917854931</c:v>
                      </c:pt>
                      <c:pt idx="13">
                        <c:v>587.76821909739942</c:v>
                      </c:pt>
                      <c:pt idx="14">
                        <c:v>618.76094046983258</c:v>
                      </c:pt>
                      <c:pt idx="15">
                        <c:v>648.50719329584877</c:v>
                      </c:pt>
                      <c:pt idx="16">
                        <c:v>677.00697757544788</c:v>
                      </c:pt>
                      <c:pt idx="17">
                        <c:v>704.26029330863003</c:v>
                      </c:pt>
                      <c:pt idx="18">
                        <c:v>730.2671404953951</c:v>
                      </c:pt>
                      <c:pt idx="19">
                        <c:v>755.0275191357432</c:v>
                      </c:pt>
                      <c:pt idx="20">
                        <c:v>778.54142922967424</c:v>
                      </c:pt>
                      <c:pt idx="21">
                        <c:v>800.8088707771883</c:v>
                      </c:pt>
                      <c:pt idx="22">
                        <c:v>821.82984377828529</c:v>
                      </c:pt>
                      <c:pt idx="23">
                        <c:v>841.60434823296532</c:v>
                      </c:pt>
                      <c:pt idx="24">
                        <c:v>860.13238414122827</c:v>
                      </c:pt>
                      <c:pt idx="25">
                        <c:v>877.41395150307426</c:v>
                      </c:pt>
                      <c:pt idx="26">
                        <c:v>893.44905031850328</c:v>
                      </c:pt>
                      <c:pt idx="27">
                        <c:v>908.23768058751523</c:v>
                      </c:pt>
                      <c:pt idx="28">
                        <c:v>921.77984231011021</c:v>
                      </c:pt>
                      <c:pt idx="29">
                        <c:v>934.07553548628812</c:v>
                      </c:pt>
                      <c:pt idx="30">
                        <c:v>945.12476011604906</c:v>
                      </c:pt>
                      <c:pt idx="31">
                        <c:v>954.92751619939293</c:v>
                      </c:pt>
                      <c:pt idx="32">
                        <c:v>963.48380373631983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FA7-4C06-BCD5-3A40C7DFA99B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GasesSummary!$Z$63:$Z$95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FA7-4C06-BCD5-3A40C7DFA99B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GasesSummary!$AA$63:$AA$95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FA7-4C06-BCD5-3A40C7DFA99B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GasesSummary!$AB$62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GasesSummary!$AB$63:$AB$95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-0.16651778929797273</c:v>
                      </c:pt>
                      <c:pt idx="14">
                        <c:v>-0.49955336789391819</c:v>
                      </c:pt>
                      <c:pt idx="15">
                        <c:v>-0.99910673578783638</c:v>
                      </c:pt>
                      <c:pt idx="16">
                        <c:v>-1.6651778929797274</c:v>
                      </c:pt>
                      <c:pt idx="17">
                        <c:v>-2.4977668394695911</c:v>
                      </c:pt>
                      <c:pt idx="18">
                        <c:v>-3.4968735752574274</c:v>
                      </c:pt>
                      <c:pt idx="19">
                        <c:v>-4.6624981003432371</c:v>
                      </c:pt>
                      <c:pt idx="20">
                        <c:v>-5.9946404147270194</c:v>
                      </c:pt>
                      <c:pt idx="21">
                        <c:v>-7.4933005184087742</c:v>
                      </c:pt>
                      <c:pt idx="22">
                        <c:v>-9.1584784113885025</c:v>
                      </c:pt>
                      <c:pt idx="23">
                        <c:v>-10.990174093666203</c:v>
                      </c:pt>
                      <c:pt idx="24">
                        <c:v>-12.988387565241876</c:v>
                      </c:pt>
                      <c:pt idx="25">
                        <c:v>-15.153118826115522</c:v>
                      </c:pt>
                      <c:pt idx="26">
                        <c:v>-17.484367876287141</c:v>
                      </c:pt>
                      <c:pt idx="27">
                        <c:v>-19.982134715756732</c:v>
                      </c:pt>
                      <c:pt idx="28">
                        <c:v>-22.646419344524297</c:v>
                      </c:pt>
                      <c:pt idx="29">
                        <c:v>-25.477221762589835</c:v>
                      </c:pt>
                      <c:pt idx="30">
                        <c:v>-28.474541969953343</c:v>
                      </c:pt>
                      <c:pt idx="31">
                        <c:v>-31.638379966614824</c:v>
                      </c:pt>
                      <c:pt idx="32">
                        <c:v>-34.968735752574275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FA7-4C06-BCD5-3A40C7DFA99B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25400" cap="rnd">
                    <a:solidFill>
                      <a:schemeClr val="accent2">
                        <a:lumMod val="8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GasesSummary!$AC$63:$AC$95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445.03126424742572</c:v>
                      </c:pt>
                      <c:pt idx="1">
                        <c:v>445.03126424742572</c:v>
                      </c:pt>
                      <c:pt idx="2">
                        <c:v>445.03126424742572</c:v>
                      </c:pt>
                      <c:pt idx="3">
                        <c:v>445.03126424742572</c:v>
                      </c:pt>
                      <c:pt idx="4">
                        <c:v>445.03126424742572</c:v>
                      </c:pt>
                      <c:pt idx="5">
                        <c:v>445.03126424742572</c:v>
                      </c:pt>
                      <c:pt idx="6">
                        <c:v>445.03126424742572</c:v>
                      </c:pt>
                      <c:pt idx="7">
                        <c:v>445.03126424742572</c:v>
                      </c:pt>
                      <c:pt idx="8">
                        <c:v>445.03126424742572</c:v>
                      </c:pt>
                      <c:pt idx="9">
                        <c:v>445.03126424742572</c:v>
                      </c:pt>
                      <c:pt idx="10">
                        <c:v>445.03126424742572</c:v>
                      </c:pt>
                      <c:pt idx="11">
                        <c:v>445.03126424742572</c:v>
                      </c:pt>
                      <c:pt idx="12">
                        <c:v>445.03126424742572</c:v>
                      </c:pt>
                      <c:pt idx="13">
                        <c:v>445.03126424742572</c:v>
                      </c:pt>
                      <c:pt idx="14">
                        <c:v>445.03126424742572</c:v>
                      </c:pt>
                      <c:pt idx="15">
                        <c:v>445.03126424742572</c:v>
                      </c:pt>
                      <c:pt idx="16">
                        <c:v>445.03126424742572</c:v>
                      </c:pt>
                      <c:pt idx="17">
                        <c:v>445.03126424742572</c:v>
                      </c:pt>
                      <c:pt idx="18">
                        <c:v>445.03126424742572</c:v>
                      </c:pt>
                      <c:pt idx="19">
                        <c:v>445.03126424742572</c:v>
                      </c:pt>
                      <c:pt idx="20">
                        <c:v>445.03126424742572</c:v>
                      </c:pt>
                      <c:pt idx="21">
                        <c:v>445.03126424742572</c:v>
                      </c:pt>
                      <c:pt idx="22">
                        <c:v>445.03126424742572</c:v>
                      </c:pt>
                      <c:pt idx="23">
                        <c:v>445.03126424742572</c:v>
                      </c:pt>
                      <c:pt idx="24">
                        <c:v>445.03126424742572</c:v>
                      </c:pt>
                      <c:pt idx="25">
                        <c:v>445.03126424742572</c:v>
                      </c:pt>
                      <c:pt idx="26">
                        <c:v>445.03126424742572</c:v>
                      </c:pt>
                      <c:pt idx="27">
                        <c:v>445.03126424742572</c:v>
                      </c:pt>
                      <c:pt idx="28">
                        <c:v>445.03126424742572</c:v>
                      </c:pt>
                      <c:pt idx="29">
                        <c:v>445.03126424742572</c:v>
                      </c:pt>
                      <c:pt idx="30">
                        <c:v>445.03126424742572</c:v>
                      </c:pt>
                      <c:pt idx="31">
                        <c:v>445.03126424742572</c:v>
                      </c:pt>
                      <c:pt idx="32">
                        <c:v>445.03126424742572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FA7-4C06-BCD5-3A40C7DFA99B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GasesSummary!$AE$62</c15:sqref>
                        </c15:formulaRef>
                      </c:ext>
                    </c:extLst>
                    <c:strCache>
                      <c:ptCount val="1"/>
                      <c:pt idx="0">
                        <c:v>CH4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GasesSummary!$AE$63:$AE$95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1.798628462396155</c:v>
                      </c:pt>
                      <c:pt idx="5">
                        <c:v>2.3696188448295845</c:v>
                      </c:pt>
                      <c:pt idx="6">
                        <c:v>2.9150574813016448</c:v>
                      </c:pt>
                      <c:pt idx="7">
                        <c:v>3.4392933997055501</c:v>
                      </c:pt>
                      <c:pt idx="8">
                        <c:v>3.9380353499941578</c:v>
                      </c:pt>
                      <c:pt idx="9">
                        <c:v>4.4159930745682816</c:v>
                      </c:pt>
                      <c:pt idx="10">
                        <c:v>4.8716396377130167</c:v>
                      </c:pt>
                      <c:pt idx="11">
                        <c:v>5.3058004626330328</c:v>
                      </c:pt>
                      <c:pt idx="12">
                        <c:v>5.7203853809826137</c:v>
                      </c:pt>
                      <c:pt idx="13">
                        <c:v>6.1349702993321946</c:v>
                      </c:pt>
                      <c:pt idx="14">
                        <c:v>6.5495552176817755</c:v>
                      </c:pt>
                      <c:pt idx="15">
                        <c:v>6.9641401360313564</c:v>
                      </c:pt>
                      <c:pt idx="16">
                        <c:v>7.3787250543809373</c:v>
                      </c:pt>
                      <c:pt idx="17">
                        <c:v>7.7933099727305182</c:v>
                      </c:pt>
                      <c:pt idx="18">
                        <c:v>8.2078948910801</c:v>
                      </c:pt>
                      <c:pt idx="19">
                        <c:v>8.6224798094296808</c:v>
                      </c:pt>
                      <c:pt idx="20">
                        <c:v>9.0370647277792617</c:v>
                      </c:pt>
                      <c:pt idx="21">
                        <c:v>9.4516496461288426</c:v>
                      </c:pt>
                      <c:pt idx="22">
                        <c:v>9.8662345644784235</c:v>
                      </c:pt>
                      <c:pt idx="23">
                        <c:v>10.280819482828004</c:v>
                      </c:pt>
                      <c:pt idx="24">
                        <c:v>10.695404401177585</c:v>
                      </c:pt>
                      <c:pt idx="25">
                        <c:v>11.109989319527166</c:v>
                      </c:pt>
                      <c:pt idx="26">
                        <c:v>11.524574237876747</c:v>
                      </c:pt>
                      <c:pt idx="27">
                        <c:v>11.939159156226328</c:v>
                      </c:pt>
                      <c:pt idx="28">
                        <c:v>12.353744074575909</c:v>
                      </c:pt>
                      <c:pt idx="29">
                        <c:v>12.76832899292549</c:v>
                      </c:pt>
                      <c:pt idx="30">
                        <c:v>13.182913911275071</c:v>
                      </c:pt>
                      <c:pt idx="31">
                        <c:v>13.597498829624652</c:v>
                      </c:pt>
                      <c:pt idx="32">
                        <c:v>14.012083747974232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8FA7-4C06-BCD5-3A40C7DFA99B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GasesSummary!$AF$62</c15:sqref>
                        </c15:formulaRef>
                      </c:ext>
                    </c:extLst>
                    <c:strCache>
                      <c:ptCount val="1"/>
                      <c:pt idx="0">
                        <c:v>N2O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GasesSummary!$AF$63:$AF$95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 formatCode="0.00">
                        <c:v>2.4191018892461238E-2</c:v>
                      </c:pt>
                      <c:pt idx="3" formatCode="0.00">
                        <c:v>4.8479561597467767E-2</c:v>
                      </c:pt>
                      <c:pt idx="4" formatCode="0.00">
                        <c:v>7.1981686525616803E-2</c:v>
                      </c:pt>
                      <c:pt idx="5" formatCode="0.00">
                        <c:v>9.5127986797454184E-2</c:v>
                      </c:pt>
                      <c:pt idx="6" formatCode="0.00">
                        <c:v>0.11715704045025011</c:v>
                      </c:pt>
                      <c:pt idx="7" formatCode="0.00">
                        <c:v>0.13838323211122447</c:v>
                      </c:pt>
                      <c:pt idx="8" formatCode="0.00">
                        <c:v>0.15849635382597824</c:v>
                      </c:pt>
                      <c:pt idx="9" formatCode="0.00">
                        <c:v>0.17783686572614035</c:v>
                      </c:pt>
                      <c:pt idx="10" formatCode="0.00">
                        <c:v>0.19629438794584053</c:v>
                      </c:pt>
                      <c:pt idx="11" formatCode="0.00">
                        <c:v>0.21392858907605367</c:v>
                      </c:pt>
                      <c:pt idx="12" formatCode="0.00">
                        <c:v>0.23087752794910449</c:v>
                      </c:pt>
                      <c:pt idx="13" formatCode="0.00">
                        <c:v>0.24782646682215531</c:v>
                      </c:pt>
                      <c:pt idx="14" formatCode="0.00">
                        <c:v>0.26477540569520613</c:v>
                      </c:pt>
                      <c:pt idx="15" formatCode="0.00">
                        <c:v>0.28172434456825696</c:v>
                      </c:pt>
                      <c:pt idx="16" formatCode="0.00">
                        <c:v>0.29867328344130778</c:v>
                      </c:pt>
                      <c:pt idx="17" formatCode="0.00">
                        <c:v>0.3156222223143586</c:v>
                      </c:pt>
                      <c:pt idx="18" formatCode="0.00">
                        <c:v>0.33257116118740943</c:v>
                      </c:pt>
                      <c:pt idx="19" formatCode="0.00">
                        <c:v>0.34952010006046025</c:v>
                      </c:pt>
                      <c:pt idx="20" formatCode="0.00">
                        <c:v>0.36646903893351107</c:v>
                      </c:pt>
                      <c:pt idx="21" formatCode="0.00">
                        <c:v>0.38341797780656189</c:v>
                      </c:pt>
                      <c:pt idx="22" formatCode="0.00">
                        <c:v>0.40036691667961272</c:v>
                      </c:pt>
                      <c:pt idx="23" formatCode="0.00">
                        <c:v>0.41731585555266354</c:v>
                      </c:pt>
                      <c:pt idx="24" formatCode="0.00">
                        <c:v>0.43426479442571436</c:v>
                      </c:pt>
                      <c:pt idx="25" formatCode="0.00">
                        <c:v>0.45121373329876518</c:v>
                      </c:pt>
                      <c:pt idx="26" formatCode="0.00">
                        <c:v>0.46816267217181601</c:v>
                      </c:pt>
                      <c:pt idx="27" formatCode="0.00">
                        <c:v>0.48511161104486683</c:v>
                      </c:pt>
                      <c:pt idx="28" formatCode="0.00">
                        <c:v>0.5020605499179176</c:v>
                      </c:pt>
                      <c:pt idx="29" formatCode="0.00">
                        <c:v>0.51900948879096842</c:v>
                      </c:pt>
                      <c:pt idx="30" formatCode="0.00">
                        <c:v>0.53595842766401924</c:v>
                      </c:pt>
                      <c:pt idx="31" formatCode="0.00">
                        <c:v>0.55290736653707007</c:v>
                      </c:pt>
                      <c:pt idx="32" formatCode="0.00">
                        <c:v>0.56985630541012089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FA7-4C06-BCD5-3A40C7DFA99B}"/>
                  </c:ext>
                </c:extLst>
              </c15:ser>
            </c15:filteredScatterSeries>
            <c15:filteredScatte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GasesSummary!$AG$63:$AG$95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50.361596947092337</c:v>
                      </c:pt>
                      <c:pt idx="5">
                        <c:v>66.349327655228365</c:v>
                      </c:pt>
                      <c:pt idx="6">
                        <c:v>81.621609476446054</c:v>
                      </c:pt>
                      <c:pt idx="7">
                        <c:v>96.300215191755399</c:v>
                      </c:pt>
                      <c:pt idx="8">
                        <c:v>110.26498979983641</c:v>
                      </c:pt>
                      <c:pt idx="9">
                        <c:v>123.64780608791189</c:v>
                      </c:pt>
                      <c:pt idx="10">
                        <c:v>136.4059098559645</c:v>
                      </c:pt>
                      <c:pt idx="11">
                        <c:v>148.56241295372496</c:v>
                      </c:pt>
                      <c:pt idx="12">
                        <c:v>160.17079066751324</c:v>
                      </c:pt>
                      <c:pt idx="13">
                        <c:v>171.77916838130153</c:v>
                      </c:pt>
                      <c:pt idx="14">
                        <c:v>183.38754609508982</c:v>
                      </c:pt>
                      <c:pt idx="15">
                        <c:v>194.9959238088781</c:v>
                      </c:pt>
                      <c:pt idx="16">
                        <c:v>206.60430152266639</c:v>
                      </c:pt>
                      <c:pt idx="17">
                        <c:v>218.21267923645468</c:v>
                      </c:pt>
                      <c:pt idx="18">
                        <c:v>229.82105695024296</c:v>
                      </c:pt>
                      <c:pt idx="19">
                        <c:v>241.42943466403125</c:v>
                      </c:pt>
                      <c:pt idx="20">
                        <c:v>253.03781237781953</c:v>
                      </c:pt>
                      <c:pt idx="21">
                        <c:v>264.64619009160782</c:v>
                      </c:pt>
                      <c:pt idx="22">
                        <c:v>276.25456780539611</c:v>
                      </c:pt>
                      <c:pt idx="23">
                        <c:v>287.86294551918439</c:v>
                      </c:pt>
                      <c:pt idx="24">
                        <c:v>299.47132323297268</c:v>
                      </c:pt>
                      <c:pt idx="25">
                        <c:v>311.07970094676097</c:v>
                      </c:pt>
                      <c:pt idx="26">
                        <c:v>322.68807866054925</c:v>
                      </c:pt>
                      <c:pt idx="27">
                        <c:v>334.29645637433754</c:v>
                      </c:pt>
                      <c:pt idx="28">
                        <c:v>345.90483408812582</c:v>
                      </c:pt>
                      <c:pt idx="29">
                        <c:v>357.51321180191411</c:v>
                      </c:pt>
                      <c:pt idx="30">
                        <c:v>369.1215895157024</c:v>
                      </c:pt>
                      <c:pt idx="31">
                        <c:v>380.72996722949068</c:v>
                      </c:pt>
                      <c:pt idx="32">
                        <c:v>392.33834494327897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FA7-4C06-BCD5-3A40C7DFA99B}"/>
                  </c:ext>
                </c:extLst>
              </c15:ser>
            </c15:filteredScatterSeries>
            <c15:filteredScatte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GasesSummary!$AH$62</c15:sqref>
                        </c15:formulaRef>
                      </c:ext>
                    </c:extLst>
                    <c:strCache>
                      <c:ptCount val="1"/>
                      <c:pt idx="0">
                        <c:v>N2O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GasesSummary!$AH$63:$AH$95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6.4106200065022279</c:v>
                      </c:pt>
                      <c:pt idx="3">
                        <c:v>12.847083823328958</c:v>
                      </c:pt>
                      <c:pt idx="4">
                        <c:v>19.075146929288451</c:v>
                      </c:pt>
                      <c:pt idx="5">
                        <c:v>25.208916501325355</c:v>
                      </c:pt>
                      <c:pt idx="6">
                        <c:v>31.046615719316275</c:v>
                      </c:pt>
                      <c:pt idx="7">
                        <c:v>36.671556509474485</c:v>
                      </c:pt>
                      <c:pt idx="8">
                        <c:v>42.001533763884233</c:v>
                      </c:pt>
                      <c:pt idx="9">
                        <c:v>47.126769417427198</c:v>
                      </c:pt>
                      <c:pt idx="10">
                        <c:v>52.018012805647743</c:v>
                      </c:pt>
                      <c:pt idx="11">
                        <c:v>56.691076105154217</c:v>
                      </c:pt>
                      <c:pt idx="12">
                        <c:v>61.182544906512682</c:v>
                      </c:pt>
                      <c:pt idx="13">
                        <c:v>65.674013707871154</c:v>
                      </c:pt>
                      <c:pt idx="14">
                        <c:v>70.165482509229619</c:v>
                      </c:pt>
                      <c:pt idx="15">
                        <c:v>74.656951310588084</c:v>
                      </c:pt>
                      <c:pt idx="16">
                        <c:v>79.14842011194655</c:v>
                      </c:pt>
                      <c:pt idx="17">
                        <c:v>83.639888913305015</c:v>
                      </c:pt>
                      <c:pt idx="18">
                        <c:v>88.13135771466348</c:v>
                      </c:pt>
                      <c:pt idx="19">
                        <c:v>92.622826516021945</c:v>
                      </c:pt>
                      <c:pt idx="20">
                        <c:v>97.11429531738041</c:v>
                      </c:pt>
                      <c:pt idx="21">
                        <c:v>101.60576411873888</c:v>
                      </c:pt>
                      <c:pt idx="22">
                        <c:v>106.09723292009734</c:v>
                      </c:pt>
                      <c:pt idx="23">
                        <c:v>110.58870172145581</c:v>
                      </c:pt>
                      <c:pt idx="24">
                        <c:v>115.08017052281427</c:v>
                      </c:pt>
                      <c:pt idx="25">
                        <c:v>119.57163932417274</c:v>
                      </c:pt>
                      <c:pt idx="26">
                        <c:v>124.0631081255312</c:v>
                      </c:pt>
                      <c:pt idx="27">
                        <c:v>128.55457692688967</c:v>
                      </c:pt>
                      <c:pt idx="28">
                        <c:v>133.04604572824815</c:v>
                      </c:pt>
                      <c:pt idx="29">
                        <c:v>137.53751452960663</c:v>
                      </c:pt>
                      <c:pt idx="30">
                        <c:v>142.0289833309651</c:v>
                      </c:pt>
                      <c:pt idx="31">
                        <c:v>146.52045213232358</c:v>
                      </c:pt>
                      <c:pt idx="32">
                        <c:v>151.01192093368206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FA7-4C06-BCD5-3A40C7DFA99B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GasesSummary!$AI$62</c15:sqref>
                        </c15:formulaRef>
                      </c:ext>
                    </c:extLst>
                    <c:strCache>
                      <c:ptCount val="1"/>
                      <c:pt idx="0">
                        <c:v>GWP100 E61%-A33%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GasesSummary!$AI$63:$AI$95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123.63708666818758</c:v>
                      </c:pt>
                      <c:pt idx="4">
                        <c:v>186.05702302206589</c:v>
                      </c:pt>
                      <c:pt idx="5">
                        <c:v>248.63554732427792</c:v>
                      </c:pt>
                      <c:pt idx="6">
                        <c:v>305.16510880995173</c:v>
                      </c:pt>
                      <c:pt idx="7">
                        <c:v>357.22858565464435</c:v>
                      </c:pt>
                      <c:pt idx="8">
                        <c:v>404.06443111258682</c:v>
                      </c:pt>
                      <c:pt idx="9">
                        <c:v>447.26278668592425</c:v>
                      </c:pt>
                      <c:pt idx="10">
                        <c:v>486.71774860824434</c:v>
                      </c:pt>
                      <c:pt idx="11">
                        <c:v>522.91632143247125</c:v>
                      </c:pt>
                      <c:pt idx="12">
                        <c:v>556.60249218231218</c:v>
                      </c:pt>
                      <c:pt idx="13">
                        <c:v>589.18477328035044</c:v>
                      </c:pt>
                      <c:pt idx="14">
                        <c:v>620.66316472658605</c:v>
                      </c:pt>
                      <c:pt idx="15">
                        <c:v>651.0376665210191</c:v>
                      </c:pt>
                      <c:pt idx="16">
                        <c:v>680.3082786636495</c:v>
                      </c:pt>
                      <c:pt idx="17">
                        <c:v>708.47500115447724</c:v>
                      </c:pt>
                      <c:pt idx="18">
                        <c:v>735.53783399350243</c:v>
                      </c:pt>
                      <c:pt idx="19">
                        <c:v>761.49677718072496</c:v>
                      </c:pt>
                      <c:pt idx="20">
                        <c:v>786.35183071614483</c:v>
                      </c:pt>
                      <c:pt idx="21">
                        <c:v>810.10299459976204</c:v>
                      </c:pt>
                      <c:pt idx="22">
                        <c:v>832.75026883157659</c:v>
                      </c:pt>
                      <c:pt idx="23">
                        <c:v>854.29365341158859</c:v>
                      </c:pt>
                      <c:pt idx="24">
                        <c:v>874.73314833979794</c:v>
                      </c:pt>
                      <c:pt idx="25">
                        <c:v>894.06875361620462</c:v>
                      </c:pt>
                      <c:pt idx="26">
                        <c:v>912.30046924080864</c:v>
                      </c:pt>
                      <c:pt idx="27">
                        <c:v>929.42829521361011</c:v>
                      </c:pt>
                      <c:pt idx="28">
                        <c:v>945.45223153460893</c:v>
                      </c:pt>
                      <c:pt idx="29">
                        <c:v>960.37227820380508</c:v>
                      </c:pt>
                      <c:pt idx="30">
                        <c:v>974.18843522119857</c:v>
                      </c:pt>
                      <c:pt idx="31">
                        <c:v>986.90070258678952</c:v>
                      </c:pt>
                      <c:pt idx="32">
                        <c:v>998.50908030057781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FA7-4C06-BCD5-3A40C7DFA99B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GasesSummary!$AJ$63:$AJ$95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FA7-4C06-BCD5-3A40C7DFA99B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GasesSummary!$AK$63:$AK$95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FA7-4C06-BCD5-3A40C7DFA99B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GasesSummary!$AL$62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GasesSummary!$AL$63:$AL$95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-0.22457344006792335</c:v>
                      </c:pt>
                      <c:pt idx="14">
                        <c:v>-0.67372032020377004</c:v>
                      </c:pt>
                      <c:pt idx="15">
                        <c:v>-1.3474406404075401</c:v>
                      </c:pt>
                      <c:pt idx="16">
                        <c:v>-2.2457344006792335</c:v>
                      </c:pt>
                      <c:pt idx="17">
                        <c:v>-3.3686016010188502</c:v>
                      </c:pt>
                      <c:pt idx="18">
                        <c:v>-4.7160422414263898</c:v>
                      </c:pt>
                      <c:pt idx="19">
                        <c:v>-6.2880563219018537</c:v>
                      </c:pt>
                      <c:pt idx="20">
                        <c:v>-8.0846438424452405</c:v>
                      </c:pt>
                      <c:pt idx="21">
                        <c:v>-10.10580480305655</c:v>
                      </c:pt>
                      <c:pt idx="22">
                        <c:v>-12.351539203735783</c:v>
                      </c:pt>
                      <c:pt idx="23">
                        <c:v>-14.82184704448294</c:v>
                      </c:pt>
                      <c:pt idx="24">
                        <c:v>-17.516728325298018</c:v>
                      </c:pt>
                      <c:pt idx="25">
                        <c:v>-20.436183046181021</c:v>
                      </c:pt>
                      <c:pt idx="26">
                        <c:v>-23.580211207131949</c:v>
                      </c:pt>
                      <c:pt idx="27">
                        <c:v>-26.948812808150798</c:v>
                      </c:pt>
                      <c:pt idx="28">
                        <c:v>-30.541987849237572</c:v>
                      </c:pt>
                      <c:pt idx="29">
                        <c:v>-34.359736330392266</c:v>
                      </c:pt>
                      <c:pt idx="30">
                        <c:v>-38.402058251614889</c:v>
                      </c:pt>
                      <c:pt idx="31">
                        <c:v>-42.668953612905433</c:v>
                      </c:pt>
                      <c:pt idx="32">
                        <c:v>-47.160422414263898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FA7-4C06-BCD5-3A40C7DFA99B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GasesSummary!$AM$63:$AM$95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432.83957758573609</c:v>
                      </c:pt>
                      <c:pt idx="1">
                        <c:v>432.83957758573609</c:v>
                      </c:pt>
                      <c:pt idx="2">
                        <c:v>432.83957758573609</c:v>
                      </c:pt>
                      <c:pt idx="3">
                        <c:v>432.83957758573609</c:v>
                      </c:pt>
                      <c:pt idx="4">
                        <c:v>432.83957758573609</c:v>
                      </c:pt>
                      <c:pt idx="5">
                        <c:v>432.83957758573609</c:v>
                      </c:pt>
                      <c:pt idx="6">
                        <c:v>432.83957758573609</c:v>
                      </c:pt>
                      <c:pt idx="7">
                        <c:v>432.83957758573609</c:v>
                      </c:pt>
                      <c:pt idx="8">
                        <c:v>432.83957758573609</c:v>
                      </c:pt>
                      <c:pt idx="9">
                        <c:v>432.83957758573609</c:v>
                      </c:pt>
                      <c:pt idx="10">
                        <c:v>432.83957758573609</c:v>
                      </c:pt>
                      <c:pt idx="11">
                        <c:v>432.83957758573609</c:v>
                      </c:pt>
                      <c:pt idx="12">
                        <c:v>432.83957758573609</c:v>
                      </c:pt>
                      <c:pt idx="13">
                        <c:v>432.83957758573609</c:v>
                      </c:pt>
                      <c:pt idx="14">
                        <c:v>432.83957758573609</c:v>
                      </c:pt>
                      <c:pt idx="15">
                        <c:v>432.83957758573609</c:v>
                      </c:pt>
                      <c:pt idx="16">
                        <c:v>432.83957758573609</c:v>
                      </c:pt>
                      <c:pt idx="17">
                        <c:v>432.83957758573609</c:v>
                      </c:pt>
                      <c:pt idx="18">
                        <c:v>432.83957758573609</c:v>
                      </c:pt>
                      <c:pt idx="19">
                        <c:v>432.83957758573609</c:v>
                      </c:pt>
                      <c:pt idx="20">
                        <c:v>432.83957758573609</c:v>
                      </c:pt>
                      <c:pt idx="21">
                        <c:v>432.83957758573609</c:v>
                      </c:pt>
                      <c:pt idx="22">
                        <c:v>432.83957758573609</c:v>
                      </c:pt>
                      <c:pt idx="23">
                        <c:v>432.83957758573609</c:v>
                      </c:pt>
                      <c:pt idx="24">
                        <c:v>432.83957758573609</c:v>
                      </c:pt>
                      <c:pt idx="25">
                        <c:v>432.83957758573609</c:v>
                      </c:pt>
                      <c:pt idx="26">
                        <c:v>432.83957758573609</c:v>
                      </c:pt>
                      <c:pt idx="27">
                        <c:v>432.83957758573609</c:v>
                      </c:pt>
                      <c:pt idx="28">
                        <c:v>432.83957758573609</c:v>
                      </c:pt>
                      <c:pt idx="29">
                        <c:v>432.83957758573609</c:v>
                      </c:pt>
                      <c:pt idx="30">
                        <c:v>432.83957758573609</c:v>
                      </c:pt>
                      <c:pt idx="31">
                        <c:v>432.83957758573609</c:v>
                      </c:pt>
                      <c:pt idx="32">
                        <c:v>432.83957758573609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A7-4C06-BCD5-3A40C7DFA99B}"/>
                  </c:ext>
                </c:extLst>
              </c15:ser>
            </c15:filteredScatterSeries>
            <c15:filteredScatte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GasesSummary!$AO$62</c15:sqref>
                        </c15:formulaRef>
                      </c:ext>
                    </c:extLst>
                    <c:strCache>
                      <c:ptCount val="1"/>
                      <c:pt idx="0">
                        <c:v>CH4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GasesSummary!$AO$63:$AO$95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1.8033384781011881</c:v>
                      </c:pt>
                      <c:pt idx="5">
                        <c:v>2.3837488919446836</c:v>
                      </c:pt>
                      <c:pt idx="6">
                        <c:v>2.943317575531843</c:v>
                      </c:pt>
                      <c:pt idx="7">
                        <c:v>3.4863935567558806</c:v>
                      </c:pt>
                      <c:pt idx="8">
                        <c:v>4.0086855855696539</c:v>
                      </c:pt>
                      <c:pt idx="9">
                        <c:v>4.5149034043739764</c:v>
                      </c:pt>
                      <c:pt idx="10">
                        <c:v>5.0035200774539437</c:v>
                      </c:pt>
                      <c:pt idx="11">
                        <c:v>5.4753610280142242</c:v>
                      </c:pt>
                      <c:pt idx="12">
                        <c:v>5.9323360877091025</c:v>
                      </c:pt>
                      <c:pt idx="13">
                        <c:v>6.3893111474039808</c:v>
                      </c:pt>
                      <c:pt idx="14">
                        <c:v>6.846286207098859</c:v>
                      </c:pt>
                      <c:pt idx="15">
                        <c:v>7.3032612667937373</c:v>
                      </c:pt>
                      <c:pt idx="16">
                        <c:v>7.7602363264886156</c:v>
                      </c:pt>
                      <c:pt idx="17">
                        <c:v>8.2172113861834948</c:v>
                      </c:pt>
                      <c:pt idx="18">
                        <c:v>8.6741864458783731</c:v>
                      </c:pt>
                      <c:pt idx="19">
                        <c:v>9.1311615055732513</c:v>
                      </c:pt>
                      <c:pt idx="20">
                        <c:v>9.5881365652681296</c:v>
                      </c:pt>
                      <c:pt idx="21">
                        <c:v>10.045111624963008</c:v>
                      </c:pt>
                      <c:pt idx="22">
                        <c:v>10.502086684657886</c:v>
                      </c:pt>
                      <c:pt idx="23">
                        <c:v>10.959061744352764</c:v>
                      </c:pt>
                      <c:pt idx="24">
                        <c:v>11.416036804047643</c:v>
                      </c:pt>
                      <c:pt idx="25">
                        <c:v>11.873011863742521</c:v>
                      </c:pt>
                      <c:pt idx="26">
                        <c:v>12.329986923437399</c:v>
                      </c:pt>
                      <c:pt idx="27">
                        <c:v>12.786961983132278</c:v>
                      </c:pt>
                      <c:pt idx="28">
                        <c:v>13.243937042827156</c:v>
                      </c:pt>
                      <c:pt idx="29">
                        <c:v>13.700912102522034</c:v>
                      </c:pt>
                      <c:pt idx="30">
                        <c:v>14.157887162216912</c:v>
                      </c:pt>
                      <c:pt idx="31">
                        <c:v>14.614862221911791</c:v>
                      </c:pt>
                      <c:pt idx="32">
                        <c:v>15.071837281606669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FA7-4C06-BCD5-3A40C7DFA99B}"/>
                  </c:ext>
                </c:extLst>
              </c15:ser>
            </c15:filteredScatterSeries>
            <c15:filteredScatte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GasesSummary!$AP$62</c15:sqref>
                        </c15:formulaRef>
                      </c:ext>
                    </c:extLst>
                    <c:strCache>
                      <c:ptCount val="1"/>
                      <c:pt idx="0">
                        <c:v>N2O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GasesSummary!$AP$63:$AP$95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7.2171013129571915E-2</c:v>
                      </c:pt>
                      <c:pt idx="5">
                        <c:v>9.5695966609319519E-2</c:v>
                      </c:pt>
                      <c:pt idx="6">
                        <c:v>0.11829300007398079</c:v>
                      </c:pt>
                      <c:pt idx="7">
                        <c:v>0.14027649815077561</c:v>
                      </c:pt>
                      <c:pt idx="8">
                        <c:v>0.16133625288530495</c:v>
                      </c:pt>
                      <c:pt idx="9">
                        <c:v>0.18181272440919777</c:v>
                      </c:pt>
                      <c:pt idx="10">
                        <c:v>0.20159553285658374</c:v>
                      </c:pt>
                      <c:pt idx="11">
                        <c:v>0.2207443468184378</c:v>
                      </c:pt>
                      <c:pt idx="12">
                        <c:v>0.23939722512708467</c:v>
                      </c:pt>
                      <c:pt idx="13">
                        <c:v>0.25805010343573154</c:v>
                      </c:pt>
                      <c:pt idx="14">
                        <c:v>0.27670298174437841</c:v>
                      </c:pt>
                      <c:pt idx="15">
                        <c:v>0.29535586005302528</c:v>
                      </c:pt>
                      <c:pt idx="16">
                        <c:v>0.31400873836167215</c:v>
                      </c:pt>
                      <c:pt idx="17">
                        <c:v>0.33266161667031902</c:v>
                      </c:pt>
                      <c:pt idx="18">
                        <c:v>0.35131449497896589</c:v>
                      </c:pt>
                      <c:pt idx="19">
                        <c:v>0.36996737328761276</c:v>
                      </c:pt>
                      <c:pt idx="20">
                        <c:v>0.38862025159625962</c:v>
                      </c:pt>
                      <c:pt idx="21">
                        <c:v>0.40727312990490649</c:v>
                      </c:pt>
                      <c:pt idx="22">
                        <c:v>0.42592600821355336</c:v>
                      </c:pt>
                      <c:pt idx="23">
                        <c:v>0.44457888652220023</c:v>
                      </c:pt>
                      <c:pt idx="24">
                        <c:v>0.4632317648308471</c:v>
                      </c:pt>
                      <c:pt idx="25">
                        <c:v>0.48188464313949397</c:v>
                      </c:pt>
                      <c:pt idx="26">
                        <c:v>0.50053752144814079</c:v>
                      </c:pt>
                      <c:pt idx="27">
                        <c:v>0.5191903997567876</c:v>
                      </c:pt>
                      <c:pt idx="28">
                        <c:v>0.53784327806543442</c:v>
                      </c:pt>
                      <c:pt idx="29">
                        <c:v>0.55649615637408123</c:v>
                      </c:pt>
                      <c:pt idx="30">
                        <c:v>0.57514903468272804</c:v>
                      </c:pt>
                      <c:pt idx="31">
                        <c:v>0.59380191299137486</c:v>
                      </c:pt>
                      <c:pt idx="32">
                        <c:v>0.61245479130002167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FA7-4C06-BCD5-3A40C7DFA99B}"/>
                  </c:ext>
                </c:extLst>
              </c15:ser>
            </c15:filteredScatterSeries>
            <c15:filteredScatte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GasesSummary!$AQ$63:$AQ$95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50.493477386833263</c:v>
                      </c:pt>
                      <c:pt idx="5">
                        <c:v>66.74496897445114</c:v>
                      </c:pt>
                      <c:pt idx="6">
                        <c:v>82.412892114891605</c:v>
                      </c:pt>
                      <c:pt idx="7">
                        <c:v>97.619019589164651</c:v>
                      </c:pt>
                      <c:pt idx="8">
                        <c:v>112.24319639595029</c:v>
                      </c:pt>
                      <c:pt idx="9">
                        <c:v>126.41729532247132</c:v>
                      </c:pt>
                      <c:pt idx="10">
                        <c:v>140.0985621687104</c:v>
                      </c:pt>
                      <c:pt idx="11">
                        <c:v>153.31010878439827</c:v>
                      </c:pt>
                      <c:pt idx="12">
                        <c:v>166.10541045585487</c:v>
                      </c:pt>
                      <c:pt idx="13">
                        <c:v>178.90071212731146</c:v>
                      </c:pt>
                      <c:pt idx="14">
                        <c:v>191.69601379876806</c:v>
                      </c:pt>
                      <c:pt idx="15">
                        <c:v>204.49131547022466</c:v>
                      </c:pt>
                      <c:pt idx="16">
                        <c:v>217.28661714168126</c:v>
                      </c:pt>
                      <c:pt idx="17">
                        <c:v>230.08191881313786</c:v>
                      </c:pt>
                      <c:pt idx="18">
                        <c:v>242.87722048459446</c:v>
                      </c:pt>
                      <c:pt idx="19">
                        <c:v>255.67252215605106</c:v>
                      </c:pt>
                      <c:pt idx="20">
                        <c:v>268.46782382750769</c:v>
                      </c:pt>
                      <c:pt idx="21">
                        <c:v>281.26312549896431</c:v>
                      </c:pt>
                      <c:pt idx="22">
                        <c:v>294.05842717042094</c:v>
                      </c:pt>
                      <c:pt idx="23">
                        <c:v>306.85372884187757</c:v>
                      </c:pt>
                      <c:pt idx="24">
                        <c:v>319.6490305133342</c:v>
                      </c:pt>
                      <c:pt idx="25">
                        <c:v>332.44433218479082</c:v>
                      </c:pt>
                      <c:pt idx="26">
                        <c:v>345.23963385624745</c:v>
                      </c:pt>
                      <c:pt idx="27">
                        <c:v>358.03493552770408</c:v>
                      </c:pt>
                      <c:pt idx="28">
                        <c:v>370.83023719916071</c:v>
                      </c:pt>
                      <c:pt idx="29">
                        <c:v>383.62553887061733</c:v>
                      </c:pt>
                      <c:pt idx="30">
                        <c:v>396.42084054207396</c:v>
                      </c:pt>
                      <c:pt idx="31">
                        <c:v>409.21614221353059</c:v>
                      </c:pt>
                      <c:pt idx="32">
                        <c:v>422.01144388498722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8FA7-4C06-BCD5-3A40C7DFA99B}"/>
                  </c:ext>
                </c:extLst>
              </c15:ser>
            </c15:filteredScatterSeries>
            <c15:filteredScatte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GasesSummary!$AR$62</c15:sqref>
                        </c15:formulaRef>
                      </c:ext>
                    </c:extLst>
                    <c:strCache>
                      <c:ptCount val="1"/>
                      <c:pt idx="0">
                        <c:v>N2O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GasesSummary!$AR$63:$AR$95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6.4106200065022279</c:v>
                      </c:pt>
                      <c:pt idx="3">
                        <c:v>12.847083823328958</c:v>
                      </c:pt>
                      <c:pt idx="4">
                        <c:v>19.125318479336556</c:v>
                      </c:pt>
                      <c:pt idx="5">
                        <c:v>25.359431151469671</c:v>
                      </c:pt>
                      <c:pt idx="6">
                        <c:v>31.347645019604908</c:v>
                      </c:pt>
                      <c:pt idx="7">
                        <c:v>37.173272009955539</c:v>
                      </c:pt>
                      <c:pt idx="8">
                        <c:v>42.754107014605815</c:v>
                      </c:pt>
                      <c:pt idx="9">
                        <c:v>48.180371968437413</c:v>
                      </c:pt>
                      <c:pt idx="10">
                        <c:v>53.422816206994696</c:v>
                      </c:pt>
                      <c:pt idx="11">
                        <c:v>58.497251906886021</c:v>
                      </c:pt>
                      <c:pt idx="12">
                        <c:v>63.440264658677435</c:v>
                      </c:pt>
                      <c:pt idx="13">
                        <c:v>68.38327741046885</c:v>
                      </c:pt>
                      <c:pt idx="14">
                        <c:v>73.326290162260264</c:v>
                      </c:pt>
                      <c:pt idx="15">
                        <c:v>78.269302914051678</c:v>
                      </c:pt>
                      <c:pt idx="16">
                        <c:v>83.212315665843093</c:v>
                      </c:pt>
                      <c:pt idx="17">
                        <c:v>88.155328417634507</c:v>
                      </c:pt>
                      <c:pt idx="18">
                        <c:v>93.098341169425922</c:v>
                      </c:pt>
                      <c:pt idx="19">
                        <c:v>98.041353921217336</c:v>
                      </c:pt>
                      <c:pt idx="20">
                        <c:v>102.98436667300875</c:v>
                      </c:pt>
                      <c:pt idx="21">
                        <c:v>107.92737942480016</c:v>
                      </c:pt>
                      <c:pt idx="22">
                        <c:v>112.87039217659158</c:v>
                      </c:pt>
                      <c:pt idx="23">
                        <c:v>117.81340492838299</c:v>
                      </c:pt>
                      <c:pt idx="24">
                        <c:v>122.75641768017441</c:v>
                      </c:pt>
                      <c:pt idx="25">
                        <c:v>127.69943043196582</c:v>
                      </c:pt>
                      <c:pt idx="26">
                        <c:v>132.64244318375725</c:v>
                      </c:pt>
                      <c:pt idx="27">
                        <c:v>137.58545593554868</c:v>
                      </c:pt>
                      <c:pt idx="28">
                        <c:v>142.52846868734011</c:v>
                      </c:pt>
                      <c:pt idx="29">
                        <c:v>147.47148143913154</c:v>
                      </c:pt>
                      <c:pt idx="30">
                        <c:v>152.41449419092297</c:v>
                      </c:pt>
                      <c:pt idx="31">
                        <c:v>157.35750694271439</c:v>
                      </c:pt>
                      <c:pt idx="32">
                        <c:v>162.30051969450582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8FA7-4C06-BCD5-3A40C7DFA99B}"/>
                  </c:ext>
                </c:extLst>
              </c15:ser>
            </c15:filteredScatterSeries>
            <c15:filteredScatte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GasesSummary!$AS$62</c15:sqref>
                        </c15:formulaRef>
                      </c:ext>
                    </c:extLst>
                    <c:strCache>
                      <c:ptCount val="1"/>
                      <c:pt idx="0">
                        <c:v>GWP100 E65%-A26%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GasesSummary!$AS$63:$AS$95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123.63333623079016</c:v>
                      </c:pt>
                      <c:pt idx="4">
                        <c:v>186.22782369966279</c:v>
                      </c:pt>
                      <c:pt idx="5">
                        <c:v>249.15920066926074</c:v>
                      </c:pt>
                      <c:pt idx="6">
                        <c:v>305.74489455983303</c:v>
                      </c:pt>
                      <c:pt idx="7">
                        <c:v>357.68069856850633</c:v>
                      </c:pt>
                      <c:pt idx="8">
                        <c:v>404.29656605319747</c:v>
                      </c:pt>
                      <c:pt idx="9">
                        <c:v>447.25759072864514</c:v>
                      </c:pt>
                      <c:pt idx="10">
                        <c:v>486.51919336601361</c:v>
                      </c:pt>
                      <c:pt idx="11">
                        <c:v>522.61704878614501</c:v>
                      </c:pt>
                      <c:pt idx="12">
                        <c:v>556.33602703779752</c:v>
                      </c:pt>
                      <c:pt idx="13">
                        <c:v>589.00882146044023</c:v>
                      </c:pt>
                      <c:pt idx="14">
                        <c:v>620.63543205407314</c:v>
                      </c:pt>
                      <c:pt idx="15">
                        <c:v>651.21585881869623</c:v>
                      </c:pt>
                      <c:pt idx="16">
                        <c:v>680.75010175430953</c:v>
                      </c:pt>
                      <c:pt idx="17">
                        <c:v>709.23816086091313</c:v>
                      </c:pt>
                      <c:pt idx="18">
                        <c:v>736.68003613850692</c:v>
                      </c:pt>
                      <c:pt idx="19">
                        <c:v>763.07572758709091</c:v>
                      </c:pt>
                      <c:pt idx="20">
                        <c:v>788.42523520666509</c:v>
                      </c:pt>
                      <c:pt idx="21">
                        <c:v>812.72855899722947</c:v>
                      </c:pt>
                      <c:pt idx="22">
                        <c:v>835.98569895878404</c:v>
                      </c:pt>
                      <c:pt idx="23">
                        <c:v>858.19665509132881</c:v>
                      </c:pt>
                      <c:pt idx="24">
                        <c:v>879.36142739486377</c:v>
                      </c:pt>
                      <c:pt idx="25">
                        <c:v>899.48001586938892</c:v>
                      </c:pt>
                      <c:pt idx="26">
                        <c:v>918.55242051490427</c:v>
                      </c:pt>
                      <c:pt idx="27">
                        <c:v>936.57864133140981</c:v>
                      </c:pt>
                      <c:pt idx="28">
                        <c:v>953.55867831890555</c:v>
                      </c:pt>
                      <c:pt idx="29">
                        <c:v>969.49253147739159</c:v>
                      </c:pt>
                      <c:pt idx="30">
                        <c:v>984.38020080686783</c:v>
                      </c:pt>
                      <c:pt idx="31">
                        <c:v>998.22168630733427</c:v>
                      </c:pt>
                      <c:pt idx="32">
                        <c:v>1011.0169879787909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FA7-4C06-BCD5-3A40C7DFA99B}"/>
                  </c:ext>
                </c:extLst>
              </c15:ser>
            </c15:filteredScatterSeries>
            <c15:filteredScatte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GasesSummary!$AT$63:$AT$95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8FA7-4C06-BCD5-3A40C7DFA99B}"/>
                  </c:ext>
                </c:extLst>
              </c15:ser>
            </c15:filteredScatterSeries>
            <c15:filteredScatte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GasesSummary!$AU$63:$AU$95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FA7-4C06-BCD5-3A40C7DFA99B}"/>
                  </c:ext>
                </c:extLst>
              </c15:ser>
            </c15:filteredScatterSeries>
            <c15:filteredScatte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GasesSummary!$AV$62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GasesSummary!$AV$63:$AV$95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-0.24715063758957084</c:v>
                      </c:pt>
                      <c:pt idx="14">
                        <c:v>-0.74145191276871247</c:v>
                      </c:pt>
                      <c:pt idx="15">
                        <c:v>-1.4829038255374249</c:v>
                      </c:pt>
                      <c:pt idx="16">
                        <c:v>-2.4715063758957081</c:v>
                      </c:pt>
                      <c:pt idx="17">
                        <c:v>-3.7072595638435626</c:v>
                      </c:pt>
                      <c:pt idx="18">
                        <c:v>-5.190163389380988</c:v>
                      </c:pt>
                      <c:pt idx="19">
                        <c:v>-6.9202178525079843</c:v>
                      </c:pt>
                      <c:pt idx="20">
                        <c:v>-8.8974229532245506</c:v>
                      </c:pt>
                      <c:pt idx="21">
                        <c:v>-11.121778691530688</c:v>
                      </c:pt>
                      <c:pt idx="22">
                        <c:v>-13.593285067426397</c:v>
                      </c:pt>
                      <c:pt idx="23">
                        <c:v>-16.311942080911678</c:v>
                      </c:pt>
                      <c:pt idx="24">
                        <c:v>-19.277749731986528</c:v>
                      </c:pt>
                      <c:pt idx="25">
                        <c:v>-22.490708020650949</c:v>
                      </c:pt>
                      <c:pt idx="26">
                        <c:v>-25.95081694690494</c:v>
                      </c:pt>
                      <c:pt idx="27">
                        <c:v>-29.658076510748504</c:v>
                      </c:pt>
                      <c:pt idx="28">
                        <c:v>-33.612486712181635</c:v>
                      </c:pt>
                      <c:pt idx="29">
                        <c:v>-37.814047551204339</c:v>
                      </c:pt>
                      <c:pt idx="30">
                        <c:v>-42.262759027816614</c:v>
                      </c:pt>
                      <c:pt idx="31">
                        <c:v>-46.958621142018458</c:v>
                      </c:pt>
                      <c:pt idx="32">
                        <c:v>-51.901633893809873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8FA7-4C06-BCD5-3A40C7DFA99B}"/>
                  </c:ext>
                </c:extLst>
              </c15:ser>
            </c15:filteredScatterSeries>
            <c15:filteredScatte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GasesSummary!$AW$63:$AW$95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428.09836610619016</c:v>
                      </c:pt>
                      <c:pt idx="1">
                        <c:v>428.09836610619016</c:v>
                      </c:pt>
                      <c:pt idx="2">
                        <c:v>428.09836610619016</c:v>
                      </c:pt>
                      <c:pt idx="3">
                        <c:v>428.09836610619016</c:v>
                      </c:pt>
                      <c:pt idx="4">
                        <c:v>428.09836610619016</c:v>
                      </c:pt>
                      <c:pt idx="5">
                        <c:v>428.09836610619016</c:v>
                      </c:pt>
                      <c:pt idx="6">
                        <c:v>428.09836610619016</c:v>
                      </c:pt>
                      <c:pt idx="7">
                        <c:v>428.09836610619016</c:v>
                      </c:pt>
                      <c:pt idx="8">
                        <c:v>428.09836610619016</c:v>
                      </c:pt>
                      <c:pt idx="9">
                        <c:v>428.09836610619016</c:v>
                      </c:pt>
                      <c:pt idx="10">
                        <c:v>428.09836610619016</c:v>
                      </c:pt>
                      <c:pt idx="11">
                        <c:v>428.09836610619016</c:v>
                      </c:pt>
                      <c:pt idx="12">
                        <c:v>428.09836610619016</c:v>
                      </c:pt>
                      <c:pt idx="13">
                        <c:v>428.09836610619016</c:v>
                      </c:pt>
                      <c:pt idx="14">
                        <c:v>428.09836610619016</c:v>
                      </c:pt>
                      <c:pt idx="15">
                        <c:v>428.09836610619016</c:v>
                      </c:pt>
                      <c:pt idx="16">
                        <c:v>428.09836610619016</c:v>
                      </c:pt>
                      <c:pt idx="17">
                        <c:v>428.09836610619016</c:v>
                      </c:pt>
                      <c:pt idx="18">
                        <c:v>428.09836610619016</c:v>
                      </c:pt>
                      <c:pt idx="19">
                        <c:v>428.09836610619016</c:v>
                      </c:pt>
                      <c:pt idx="20">
                        <c:v>428.09836610619016</c:v>
                      </c:pt>
                      <c:pt idx="21">
                        <c:v>428.09836610619016</c:v>
                      </c:pt>
                      <c:pt idx="22">
                        <c:v>428.09836610619016</c:v>
                      </c:pt>
                      <c:pt idx="23">
                        <c:v>428.09836610619016</c:v>
                      </c:pt>
                      <c:pt idx="24">
                        <c:v>428.09836610619016</c:v>
                      </c:pt>
                      <c:pt idx="25">
                        <c:v>428.09836610619016</c:v>
                      </c:pt>
                      <c:pt idx="26">
                        <c:v>428.09836610619016</c:v>
                      </c:pt>
                      <c:pt idx="27">
                        <c:v>428.09836610619016</c:v>
                      </c:pt>
                      <c:pt idx="28">
                        <c:v>428.09836610619016</c:v>
                      </c:pt>
                      <c:pt idx="29">
                        <c:v>428.09836610619016</c:v>
                      </c:pt>
                      <c:pt idx="30">
                        <c:v>428.09836610619016</c:v>
                      </c:pt>
                      <c:pt idx="31">
                        <c:v>428.09836610619016</c:v>
                      </c:pt>
                      <c:pt idx="32">
                        <c:v>428.09836610619016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8FA7-4C06-BCD5-3A40C7DFA99B}"/>
                  </c:ext>
                </c:extLst>
              </c15:ser>
            </c15:filteredScatterSeries>
            <c15:filteredScatte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GasesSummary!$AY$62</c15:sqref>
                        </c15:formulaRef>
                      </c:ext>
                    </c:extLst>
                    <c:strCache>
                      <c:ptCount val="1"/>
                      <c:pt idx="0">
                        <c:v>CH4 E69%A19%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GasesSummary!$AY$63:$AY$95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1.8083849234994376</c:v>
                      </c:pt>
                      <c:pt idx="5">
                        <c:v>2.3988882281394321</c:v>
                      </c:pt>
                      <c:pt idx="6">
                        <c:v>2.9735962479213405</c:v>
                      </c:pt>
                      <c:pt idx="7">
                        <c:v>3.5368580107383765</c:v>
                      </c:pt>
                      <c:pt idx="8">
                        <c:v>4.0843822665433978</c:v>
                      </c:pt>
                      <c:pt idx="9">
                        <c:v>4.6208787577372181</c:v>
                      </c:pt>
                      <c:pt idx="10">
                        <c:v>5.1448205486049323</c:v>
                      </c:pt>
                      <c:pt idx="11">
                        <c:v>5.6570330623512097</c:v>
                      </c:pt>
                      <c:pt idx="12">
                        <c:v>6.1594261306303348</c:v>
                      </c:pt>
                      <c:pt idx="13">
                        <c:v>6.6618191989094599</c:v>
                      </c:pt>
                      <c:pt idx="14">
                        <c:v>7.1642122671885851</c:v>
                      </c:pt>
                      <c:pt idx="15">
                        <c:v>7.6666053354677102</c:v>
                      </c:pt>
                      <c:pt idx="16">
                        <c:v>8.1689984037468353</c:v>
                      </c:pt>
                      <c:pt idx="17">
                        <c:v>8.6713914720259613</c:v>
                      </c:pt>
                      <c:pt idx="18">
                        <c:v>9.1737845403050873</c:v>
                      </c:pt>
                      <c:pt idx="19">
                        <c:v>9.6761776085842133</c:v>
                      </c:pt>
                      <c:pt idx="20">
                        <c:v>10.178570676863339</c:v>
                      </c:pt>
                      <c:pt idx="21">
                        <c:v>10.680963745142465</c:v>
                      </c:pt>
                      <c:pt idx="22">
                        <c:v>11.183356813421591</c:v>
                      </c:pt>
                      <c:pt idx="23">
                        <c:v>11.685749881700717</c:v>
                      </c:pt>
                      <c:pt idx="24">
                        <c:v>12.188142949979843</c:v>
                      </c:pt>
                      <c:pt idx="25">
                        <c:v>12.690536018258969</c:v>
                      </c:pt>
                      <c:pt idx="26">
                        <c:v>13.192929086538095</c:v>
                      </c:pt>
                      <c:pt idx="27">
                        <c:v>13.695322154817221</c:v>
                      </c:pt>
                      <c:pt idx="28">
                        <c:v>14.197715223096347</c:v>
                      </c:pt>
                      <c:pt idx="29">
                        <c:v>14.700108291375473</c:v>
                      </c:pt>
                      <c:pt idx="30">
                        <c:v>15.202501359654599</c:v>
                      </c:pt>
                      <c:pt idx="31">
                        <c:v>15.704894427933725</c:v>
                      </c:pt>
                      <c:pt idx="32">
                        <c:v>16.207287496212849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8FA7-4C06-BCD5-3A40C7DFA99B}"/>
                  </c:ext>
                </c:extLst>
              </c15:ser>
            </c15:filteredScatterSeries>
            <c15:filteredScatte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GasesSummary!$AZ$62</c15:sqref>
                        </c15:formulaRef>
                      </c:ext>
                    </c:extLst>
                    <c:strCache>
                      <c:ptCount val="1"/>
                      <c:pt idx="0">
                        <c:v>N2O E19%A0%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GasesSummary!$AZ$63:$AZ$95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7.2373863062380972E-2</c:v>
                      </c:pt>
                      <c:pt idx="5">
                        <c:v>9.6304516407746676E-2</c:v>
                      </c:pt>
                      <c:pt idx="6">
                        <c:v>0.11951009967083509</c:v>
                      </c:pt>
                      <c:pt idx="7">
                        <c:v>0.1423049974788661</c:v>
                      </c:pt>
                      <c:pt idx="8">
                        <c:v>0.1643790018774407</c:v>
                      </c:pt>
                      <c:pt idx="9">
                        <c:v>0.1860725729981878</c:v>
                      </c:pt>
                      <c:pt idx="10">
                        <c:v>0.20727533097523715</c:v>
                      </c:pt>
                      <c:pt idx="11">
                        <c:v>0.22804694439956358</c:v>
                      </c:pt>
                      <c:pt idx="12">
                        <c:v>0.24852547210349188</c:v>
                      </c:pt>
                      <c:pt idx="13">
                        <c:v>0.26900399980742018</c:v>
                      </c:pt>
                      <c:pt idx="14">
                        <c:v>0.28948252751134851</c:v>
                      </c:pt>
                      <c:pt idx="15">
                        <c:v>0.30996105521527684</c:v>
                      </c:pt>
                      <c:pt idx="16">
                        <c:v>0.33043958291920517</c:v>
                      </c:pt>
                      <c:pt idx="17">
                        <c:v>0.35091811062313349</c:v>
                      </c:pt>
                      <c:pt idx="18">
                        <c:v>0.37139663832706182</c:v>
                      </c:pt>
                      <c:pt idx="19">
                        <c:v>0.39187516603099015</c:v>
                      </c:pt>
                      <c:pt idx="20">
                        <c:v>0.41235369373491848</c:v>
                      </c:pt>
                      <c:pt idx="21">
                        <c:v>0.43283222143884681</c:v>
                      </c:pt>
                      <c:pt idx="22">
                        <c:v>0.45331074914277514</c:v>
                      </c:pt>
                      <c:pt idx="23">
                        <c:v>0.47378927684670347</c:v>
                      </c:pt>
                      <c:pt idx="24">
                        <c:v>0.4942678045506318</c:v>
                      </c:pt>
                      <c:pt idx="25">
                        <c:v>0.51474633225456012</c:v>
                      </c:pt>
                      <c:pt idx="26">
                        <c:v>0.53522485995848845</c:v>
                      </c:pt>
                      <c:pt idx="27">
                        <c:v>0.55570338766241678</c:v>
                      </c:pt>
                      <c:pt idx="28">
                        <c:v>0.57618191536634511</c:v>
                      </c:pt>
                      <c:pt idx="29">
                        <c:v>0.59666044307027344</c:v>
                      </c:pt>
                      <c:pt idx="30">
                        <c:v>0.61713897077420177</c:v>
                      </c:pt>
                      <c:pt idx="31">
                        <c:v>0.6376174984781301</c:v>
                      </c:pt>
                      <c:pt idx="32">
                        <c:v>0.65809602618205842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8FA7-4C06-BCD5-3A40C7DFA99B}"/>
                  </c:ext>
                </c:extLst>
              </c15:ser>
            </c15:filteredScatterSeries>
            <c15:filteredScatte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GasesSummary!$BA$63:$BA$95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50.634777857984247</c:v>
                      </c:pt>
                      <c:pt idx="5">
                        <c:v>67.168870387904093</c:v>
                      </c:pt>
                      <c:pt idx="6">
                        <c:v>83.260694941797524</c:v>
                      </c:pt>
                      <c:pt idx="7">
                        <c:v>99.032024300674536</c:v>
                      </c:pt>
                      <c:pt idx="8">
                        <c:v>114.36270346321513</c:v>
                      </c:pt>
                      <c:pt idx="9">
                        <c:v>129.38460521664209</c:v>
                      </c:pt>
                      <c:pt idx="10">
                        <c:v>144.05497536093807</c:v>
                      </c:pt>
                      <c:pt idx="11">
                        <c:v>158.39692574583384</c:v>
                      </c:pt>
                      <c:pt idx="12">
                        <c:v>172.46393165764934</c:v>
                      </c:pt>
                      <c:pt idx="13">
                        <c:v>186.53093756946484</c:v>
                      </c:pt>
                      <c:pt idx="14">
                        <c:v>200.59794348128034</c:v>
                      </c:pt>
                      <c:pt idx="15">
                        <c:v>214.66494939309584</c:v>
                      </c:pt>
                      <c:pt idx="16">
                        <c:v>228.73195530491134</c:v>
                      </c:pt>
                      <c:pt idx="17">
                        <c:v>242.79896121672684</c:v>
                      </c:pt>
                      <c:pt idx="18">
                        <c:v>256.86596712854237</c:v>
                      </c:pt>
                      <c:pt idx="19">
                        <c:v>270.93297304035787</c:v>
                      </c:pt>
                      <c:pt idx="20">
                        <c:v>284.99997895217336</c:v>
                      </c:pt>
                      <c:pt idx="21">
                        <c:v>299.06698486398886</c:v>
                      </c:pt>
                      <c:pt idx="22">
                        <c:v>313.13399077580436</c:v>
                      </c:pt>
                      <c:pt idx="23">
                        <c:v>327.20099668761986</c:v>
                      </c:pt>
                      <c:pt idx="24">
                        <c:v>341.26800259943536</c:v>
                      </c:pt>
                      <c:pt idx="25">
                        <c:v>355.33500851125086</c:v>
                      </c:pt>
                      <c:pt idx="26">
                        <c:v>369.40201442306636</c:v>
                      </c:pt>
                      <c:pt idx="27">
                        <c:v>383.46902033488186</c:v>
                      </c:pt>
                      <c:pt idx="28">
                        <c:v>397.53602624669736</c:v>
                      </c:pt>
                      <c:pt idx="29">
                        <c:v>411.60303215851286</c:v>
                      </c:pt>
                      <c:pt idx="30">
                        <c:v>425.67003807032836</c:v>
                      </c:pt>
                      <c:pt idx="31">
                        <c:v>439.73704398214386</c:v>
                      </c:pt>
                      <c:pt idx="32">
                        <c:v>453.80404989395936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8FA7-4C06-BCD5-3A40C7DFA99B}"/>
                  </c:ext>
                </c:extLst>
              </c15:ser>
            </c15:filteredScatterSeries>
            <c15:filteredScatte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GasesSummary!$BB$62</c15:sqref>
                        </c15:formulaRef>
                      </c:ext>
                    </c:extLst>
                    <c:strCache>
                      <c:ptCount val="1"/>
                      <c:pt idx="0">
                        <c:v>N2O E19%A0%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GasesSummary!$BB$63:$BB$95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6.4106200065022279</c:v>
                      </c:pt>
                      <c:pt idx="3">
                        <c:v>12.847083823328958</c:v>
                      </c:pt>
                      <c:pt idx="4">
                        <c:v>19.179073711530954</c:v>
                      </c:pt>
                      <c:pt idx="5">
                        <c:v>25.520696848052864</c:v>
                      </c:pt>
                      <c:pt idx="6">
                        <c:v>31.670176412771294</c:v>
                      </c:pt>
                      <c:pt idx="7">
                        <c:v>37.710824331899516</c:v>
                      </c:pt>
                      <c:pt idx="8">
                        <c:v>43.560435497521787</c:v>
                      </c:pt>
                      <c:pt idx="9">
                        <c:v>49.309231844519772</c:v>
                      </c:pt>
                      <c:pt idx="10">
                        <c:v>54.927962708437846</c:v>
                      </c:pt>
                      <c:pt idx="11">
                        <c:v>60.432440265884352</c:v>
                      </c:pt>
                      <c:pt idx="12">
                        <c:v>65.859250107425353</c:v>
                      </c:pt>
                      <c:pt idx="13">
                        <c:v>71.286059948966354</c:v>
                      </c:pt>
                      <c:pt idx="14">
                        <c:v>76.712869790507355</c:v>
                      </c:pt>
                      <c:pt idx="15">
                        <c:v>82.139679632048356</c:v>
                      </c:pt>
                      <c:pt idx="16">
                        <c:v>87.566489473589357</c:v>
                      </c:pt>
                      <c:pt idx="17">
                        <c:v>92.993299315130358</c:v>
                      </c:pt>
                      <c:pt idx="18">
                        <c:v>98.420109156671359</c:v>
                      </c:pt>
                      <c:pt idx="19">
                        <c:v>103.84691899821236</c:v>
                      </c:pt>
                      <c:pt idx="20">
                        <c:v>109.27372883975336</c:v>
                      </c:pt>
                      <c:pt idx="21">
                        <c:v>114.70053868129436</c:v>
                      </c:pt>
                      <c:pt idx="22">
                        <c:v>120.12734852283536</c:v>
                      </c:pt>
                      <c:pt idx="23">
                        <c:v>125.55415836437636</c:v>
                      </c:pt>
                      <c:pt idx="24">
                        <c:v>130.98096820591738</c:v>
                      </c:pt>
                      <c:pt idx="25">
                        <c:v>136.40777804745838</c:v>
                      </c:pt>
                      <c:pt idx="26">
                        <c:v>141.83458788899938</c:v>
                      </c:pt>
                      <c:pt idx="27">
                        <c:v>147.26139773054038</c:v>
                      </c:pt>
                      <c:pt idx="28">
                        <c:v>152.68820757208138</c:v>
                      </c:pt>
                      <c:pt idx="29">
                        <c:v>158.11501741362238</c:v>
                      </c:pt>
                      <c:pt idx="30">
                        <c:v>163.54182725516338</c:v>
                      </c:pt>
                      <c:pt idx="31">
                        <c:v>168.96863709670438</c:v>
                      </c:pt>
                      <c:pt idx="32">
                        <c:v>174.39544693824539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8FA7-4C06-BCD5-3A40C7DFA99B}"/>
                  </c:ext>
                </c:extLst>
              </c15:ser>
            </c15:filteredScatterSeries>
            <c15:filteredScatte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GasesSummary!$BC$62</c15:sqref>
                        </c15:formulaRef>
                      </c:ext>
                    </c:extLst>
                    <c:strCache>
                      <c:ptCount val="1"/>
                      <c:pt idx="0">
                        <c:v>GWP100 E69%-A19%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GasesSummary!$BC$63:$BC$95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126.00901550628086</c:v>
                      </c:pt>
                      <c:pt idx="4">
                        <c:v>187.70561241569649</c:v>
                      </c:pt>
                      <c:pt idx="5">
                        <c:v>246.13616318135226</c:v>
                      </c:pt>
                      <c:pt idx="6">
                        <c:v>300.80396412635179</c:v>
                      </c:pt>
                      <c:pt idx="7">
                        <c:v>351.91409995791838</c:v>
                      </c:pt>
                      <c:pt idx="8">
                        <c:v>399.2642105668163</c:v>
                      </c:pt>
                      <c:pt idx="9">
                        <c:v>443.07639067514998</c:v>
                      </c:pt>
                      <c:pt idx="10">
                        <c:v>483.27863541844647</c:v>
                      </c:pt>
                      <c:pt idx="11">
                        <c:v>519.90986882304492</c:v>
                      </c:pt>
                      <c:pt idx="12">
                        <c:v>553.06015176583128</c:v>
                      </c:pt>
                      <c:pt idx="13">
                        <c:v>585.25627085706901</c:v>
                      </c:pt>
                      <c:pt idx="14">
                        <c:v>616.49822609675823</c:v>
                      </c:pt>
                      <c:pt idx="15">
                        <c:v>646.78601748489893</c:v>
                      </c:pt>
                      <c:pt idx="16">
                        <c:v>676.11964502149112</c:v>
                      </c:pt>
                      <c:pt idx="17">
                        <c:v>704.4991087065348</c:v>
                      </c:pt>
                      <c:pt idx="18">
                        <c:v>731.92440854002984</c:v>
                      </c:pt>
                      <c:pt idx="19">
                        <c:v>758.39554452197638</c:v>
                      </c:pt>
                      <c:pt idx="20">
                        <c:v>783.91251665237439</c:v>
                      </c:pt>
                      <c:pt idx="21">
                        <c:v>808.47532493122389</c:v>
                      </c:pt>
                      <c:pt idx="22">
                        <c:v>832.08396935852477</c:v>
                      </c:pt>
                      <c:pt idx="23">
                        <c:v>854.73844993427713</c:v>
                      </c:pt>
                      <c:pt idx="24">
                        <c:v>876.43876665848097</c:v>
                      </c:pt>
                      <c:pt idx="25">
                        <c:v>897.1849195311363</c:v>
                      </c:pt>
                      <c:pt idx="26">
                        <c:v>916.976908552243</c:v>
                      </c:pt>
                      <c:pt idx="27">
                        <c:v>935.81473372180119</c:v>
                      </c:pt>
                      <c:pt idx="28">
                        <c:v>953.69839503981086</c:v>
                      </c:pt>
                      <c:pt idx="29">
                        <c:v>970.62789250627202</c:v>
                      </c:pt>
                      <c:pt idx="30">
                        <c:v>986.60322612118466</c:v>
                      </c:pt>
                      <c:pt idx="31">
                        <c:v>1001.6243958845487</c:v>
                      </c:pt>
                      <c:pt idx="32">
                        <c:v>1015.6914017963642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FA7-4C06-BCD5-3A40C7DFA99B}"/>
                  </c:ext>
                </c:extLst>
              </c15:ser>
            </c15:filteredScatterSeries>
            <c15:filteredScatte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GasesSummary!$BD$63:$BD$95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8FA7-4C06-BCD5-3A40C7DFA99B}"/>
                  </c:ext>
                </c:extLst>
              </c15:ser>
            </c15:filteredScatterSeries>
            <c15:filteredScatterSeries>
              <c15:ser>
                <c:idx val="47"/>
                <c:order val="4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GasesSummary!$BE$63:$BE$95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FA7-4C06-BCD5-3A40C7DFA99B}"/>
                  </c:ext>
                </c:extLst>
              </c15:ser>
            </c15:filteredScatterSeries>
            <c15:filteredScatterSeries>
              <c15:ser>
                <c:idx val="48"/>
                <c:order val="4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GasesSummary!$BF$62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GasesSummary!$BF$63:$BF$95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-0.27134049207705008</c:v>
                      </c:pt>
                      <c:pt idx="14">
                        <c:v>-0.81402147623115018</c:v>
                      </c:pt>
                      <c:pt idx="15">
                        <c:v>-1.6280429524623004</c:v>
                      </c:pt>
                      <c:pt idx="16">
                        <c:v>-2.7134049207705004</c:v>
                      </c:pt>
                      <c:pt idx="17">
                        <c:v>-4.0701073811557507</c:v>
                      </c:pt>
                      <c:pt idx="18">
                        <c:v>-5.6981503336180515</c:v>
                      </c:pt>
                      <c:pt idx="19">
                        <c:v>-7.5975337781574019</c:v>
                      </c:pt>
                      <c:pt idx="20">
                        <c:v>-9.768257714773803</c:v>
                      </c:pt>
                      <c:pt idx="21">
                        <c:v>-12.210322143467254</c:v>
                      </c:pt>
                      <c:pt idx="22">
                        <c:v>-14.923727064237754</c:v>
                      </c:pt>
                      <c:pt idx="23">
                        <c:v>-17.908472477085304</c:v>
                      </c:pt>
                      <c:pt idx="24">
                        <c:v>-21.164558382009904</c:v>
                      </c:pt>
                      <c:pt idx="25">
                        <c:v>-24.691984779011555</c:v>
                      </c:pt>
                      <c:pt idx="26">
                        <c:v>-28.490751668090258</c:v>
                      </c:pt>
                      <c:pt idx="27">
                        <c:v>-32.560859049246012</c:v>
                      </c:pt>
                      <c:pt idx="28">
                        <c:v>-36.902306922478814</c:v>
                      </c:pt>
                      <c:pt idx="29">
                        <c:v>-41.515095287788668</c:v>
                      </c:pt>
                      <c:pt idx="30">
                        <c:v>-46.399224145175566</c:v>
                      </c:pt>
                      <c:pt idx="31">
                        <c:v>-51.554693494639515</c:v>
                      </c:pt>
                      <c:pt idx="32">
                        <c:v>-56.981503336180516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8FA7-4C06-BCD5-3A40C7DFA99B}"/>
                  </c:ext>
                </c:extLst>
              </c15:ser>
            </c15:filteredScatterSeries>
            <c15:filteredScatterSeries>
              <c15:ser>
                <c:idx val="49"/>
                <c:order val="4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GasesSummary!$BG$63:$BG$95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8FA7-4C06-BCD5-3A40C7DFA99B}"/>
                  </c:ext>
                </c:extLst>
              </c15:ser>
            </c15:filteredScatterSeries>
            <c15:filteredScatterSeries>
              <c15:ser>
                <c:idx val="51"/>
                <c:order val="5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GasesSummary!$BI$63:$BI$95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8FA7-4C06-BCD5-3A40C7DFA99B}"/>
                  </c:ext>
                </c:extLst>
              </c15:ser>
            </c15:filteredScatterSeries>
            <c15:filteredScatterSeries>
              <c15:ser>
                <c:idx val="52"/>
                <c:order val="5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GasesSummary!$BJ$63:$BJ$95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8FA7-4C06-BCD5-3A40C7DFA99B}"/>
                  </c:ext>
                </c:extLst>
              </c15:ser>
            </c15:filteredScatterSeries>
            <c15:filteredScatterSeries>
              <c15:ser>
                <c:idx val="53"/>
                <c:order val="5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GasesSummary!$BK$63:$BK$95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8FA7-4C06-BCD5-3A40C7DFA99B}"/>
                  </c:ext>
                </c:extLst>
              </c15:ser>
            </c15:filteredScatterSeries>
            <c15:filteredScatterSeries>
              <c15:ser>
                <c:idx val="54"/>
                <c:order val="5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GasesSummary!$BL$62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GasesSummary!$BL$63:$BL$95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8FA7-4C06-BCD5-3A40C7DFA99B}"/>
                  </c:ext>
                </c:extLst>
              </c15:ser>
            </c15:filteredScatterSeries>
            <c15:filteredScatterSeries>
              <c15:ser>
                <c:idx val="55"/>
                <c:order val="5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GasesSummary!$BM$63:$BM$95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FA7-4C06-BCD5-3A40C7DFA99B}"/>
                  </c:ext>
                </c:extLst>
              </c15:ser>
            </c15:filteredScatterSeries>
            <c15:filteredScatterSeries>
              <c15:ser>
                <c:idx val="56"/>
                <c:order val="5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GasesSummary!$BN$63:$BN$95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8FA7-4C06-BCD5-3A40C7DFA99B}"/>
                  </c:ext>
                </c:extLst>
              </c15:ser>
            </c15:filteredScatterSeries>
            <c15:filteredScatterSeries>
              <c15:ser>
                <c:idx val="57"/>
                <c:order val="5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GasesSummary!$BO$63:$BO$95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FA7-4C06-BCD5-3A40C7DFA99B}"/>
                  </c:ext>
                </c:extLst>
              </c15:ser>
            </c15:filteredScatterSeries>
            <c15:filteredScatterSeries>
              <c15:ser>
                <c:idx val="58"/>
                <c:order val="5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GasesSummary!$BP$62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GasesSummary!$BP$63:$BP$95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A-8FA7-4C06-BCD5-3A40C7DFA99B}"/>
                  </c:ext>
                </c:extLst>
              </c15:ser>
            </c15:filteredScatterSeries>
          </c:ext>
        </c:extLst>
      </c:scatterChart>
      <c:valAx>
        <c:axId val="63912022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26784"/>
        <c:crosses val="autoZero"/>
        <c:crossBetween val="midCat"/>
      </c:valAx>
      <c:valAx>
        <c:axId val="6391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2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Carbon Dioxide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WAM!$C$7</c:f>
              <c:strCache>
                <c:ptCount val="1"/>
                <c:pt idx="0">
                  <c:v>CO2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53B4725-68BF-4533-8044-9605364B39EC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DDF-4AEA-963A-691EF3204B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DF-4AEA-963A-691EF3204B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DF-4AEA-963A-691EF3204B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DF-4AEA-963A-691EF3204B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DF-4AEA-963A-691EF3204B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DF-4AEA-963A-691EF3204B6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DF-4AEA-963A-691EF3204B6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DF-4AEA-963A-691EF3204B6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DF-4AEA-963A-691EF3204B6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DF-4AEA-963A-691EF3204B6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DF-4AEA-963A-691EF3204B6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DF-4AEA-963A-691EF3204B6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A5F3912-C80F-4699-9584-A616FCFFB9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DDF-4AEA-963A-691EF3204B6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EC19BE0-2462-4230-A43E-95D6384669C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DDF-4AEA-963A-691EF3204B6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BE7C984-B5B7-44E2-9228-5773CCB9F3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DDF-4AEA-963A-691EF3204B6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06D1557-03B6-4B20-B431-5E0D176527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DDF-4AEA-963A-691EF3204B6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96AE90D-569A-47AA-AC3F-1D15F57744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DDF-4AEA-963A-691EF3204B6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66BDA29-0F16-4868-8783-943FE7561B0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DDF-4AEA-963A-691EF3204B6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17C96E1-4E45-4C8B-BF9E-B164629981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DDF-4AEA-963A-691EF3204B6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E2DFA7A-FD6E-405D-BEE2-2A39281C2B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DDF-4AEA-963A-691EF3204B6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7A6E705-19EB-4468-BF12-80E8F986122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DDF-4AEA-963A-691EF3204B6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F8AD60F-490B-4A61-AFE5-35887BB177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DDF-4AEA-963A-691EF3204B6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2283072-4F48-4F35-B845-B6CB6AB810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DDF-4AEA-963A-691EF3204B6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CA35FB2-8FEE-4665-AB65-BC6056CDA2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DDF-4AEA-963A-691EF3204B6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A6995D7-A4EA-4648-8DEC-6BA65DB1AB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DDF-4AEA-963A-691EF3204B6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AD7A8FB-63E8-4988-A2B8-3A7AEBA32F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DDF-4AEA-963A-691EF3204B6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749547B-1817-46AD-9E24-397990A092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DDF-4AEA-963A-691EF3204B6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2E342B0-32FE-4B39-AE82-3ECB4A48356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DDF-4AEA-963A-691EF3204B6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542C136-D928-4DD8-8CC5-B30178FBCD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DDF-4AEA-963A-691EF3204B67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14CE72A-D06F-4B05-B670-572AD99B672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DDF-4AEA-963A-691EF3204B67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83B27C7-EA61-4703-9A0A-2E213421CC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DDF-4AEA-963A-691EF3204B6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5351A90-51B8-4C7F-8810-82911DE55E5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DDF-4AEA-963A-691EF3204B67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D989E90-3B64-4592-8973-8F5B6C58C03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DDF-4AEA-963A-691EF3204B67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6C17535C-243F-4537-B0AC-AF6CB5867D2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DDF-4AEA-963A-691EF3204B67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15581EE8-8A90-428A-87E2-F707641809B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DDF-4AEA-963A-691EF3204B6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9A2B742C-77B0-4DC5-AE3B-2B9AB37770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DDF-4AEA-963A-691EF3204B67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AF7B48CE-AB15-4F69-B138-5D69CA71844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DDF-4AEA-963A-691EF3204B67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6043A6A-6F45-4E71-A62F-208780FA03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DDF-4AEA-963A-691EF3204B67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AD33EFC8-3748-4FFA-A3EB-B4C2425D439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DDF-4AEA-963A-691EF3204B67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19F4A9D-E220-44AC-96AA-DCC4CEB0D1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DDF-4AEA-963A-691EF3204B67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632A0B3-3D4B-4FD5-A654-4FE616F1E1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DDF-4AEA-963A-691EF3204B67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F02B751F-2FEA-4236-AC27-2EA5510304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DDF-4AEA-963A-691EF3204B67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FF6BB17D-2220-4BFF-8C15-353DFFF9C6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DDF-4AEA-963A-691EF3204B67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A16E21B-53B0-4027-AA0A-C4DACC4427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DDF-4AEA-963A-691EF3204B67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EEF887D4-2BCF-4C6D-8784-CEEF4DE96E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DDF-4AEA-963A-691EF3204B67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0546C215-F5D8-4BC3-820B-7462D365EF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DDF-4AEA-963A-691EF3204B67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0F193B81-C735-45F3-A54C-DE0553BE34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DDF-4AEA-963A-691EF3204B67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EF2C7AF5-4F6C-4858-B4BC-23678E3E53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DDF-4AEA-963A-691EF3204B67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C07212B-EC9F-4D16-A6AC-2BC39FD36F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DDF-4AEA-963A-691EF3204B67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5781EB3A-752A-47CE-A7E8-F36763EA6D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DDF-4AEA-963A-691EF3204B67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1EB26B1-41D1-4E5F-901D-3AF27287A0C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DDF-4AEA-963A-691EF3204B67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57769C1-E5C6-4DAF-992A-1C75FD9931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DDF-4AEA-963A-691EF3204B67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DC33089C-701B-4CE0-941F-2AF81DB3CF6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DDF-4AEA-963A-691EF3204B67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9FD4F19E-AA6A-4705-9DDF-A78B04C43EC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DDF-4AEA-963A-691EF3204B67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DB0EA79-102E-4B59-A419-AFAA6A77FF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DDF-4AEA-963A-691EF3204B67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BFA0A2BF-3722-4197-805B-5011FB741C5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0DDF-4AEA-963A-691EF3204B67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9A321F2-8E9E-418B-AEB8-F4E19C8013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DDF-4AEA-963A-691EF3204B67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ECB1043F-0D46-495F-B9A4-03A855C8D7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DDF-4AEA-963A-691EF3204B67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4558129B-1C85-40F4-880B-A6E534A472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DDF-4AEA-963A-691EF3204B67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7B75F585-586B-4BDD-9174-50676CA57B7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DDF-4AEA-963A-691EF3204B67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DC4B079E-85A5-4242-A3B1-8E43A491C43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DDF-4AEA-963A-691EF3204B67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430FCFFC-4573-4F5B-AAF4-8DDE0931981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DDF-4AEA-963A-691EF3204B67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55DCF5E8-674C-4DC5-83ED-A4D351CDD31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0DDF-4AEA-963A-691EF3204B67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FF462DBA-815B-41D1-99D8-B86EFEDDEE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DDF-4AEA-963A-691EF3204B67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EC7378CB-49DE-4B79-A7D8-3853D9E383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0DDF-4AEA-963A-691EF3204B67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0140DB8D-904D-4FAB-A73B-C2EAF8B5A7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0DDF-4AEA-963A-691EF3204B67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4E1E3110-169D-4A0B-8A63-A0BAE86988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0DDF-4AEA-963A-691EF3204B67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7C8C70B1-E6F7-4FE2-B0C0-398FAA2A84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0DDF-4AEA-963A-691EF3204B67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0B9067A2-B2D7-4166-A56A-3D658892A8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0DDF-4AEA-963A-691EF3204B67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1367C208-28E7-4A86-919F-A2B4C2523E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0DDF-4AEA-963A-691EF3204B67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28976074-80C7-4C73-9FA4-4EA3DE561A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0DDF-4AEA-963A-691EF3204B67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939B0EEB-A894-48B6-8044-AF64FFCFB9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0DDF-4AEA-963A-691EF3204B67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9FFEAF20-17A8-4593-B3AB-66D03EF540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0DDF-4AEA-963A-691EF3204B67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790D1F6D-1AF4-4F33-9A4C-3198B50D5CD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0DDF-4AEA-963A-691EF3204B67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83F2E771-C53A-4FA3-B1F1-9BC672D9FD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0DDF-4AEA-963A-691EF3204B67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6C5E6447-D412-4404-B057-49265DE9F1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0DDF-4AEA-963A-691EF3204B67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E979A119-4281-45AA-95BE-9C6C6828126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0DDF-4AEA-963A-691EF3204B67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875F43AC-8E80-4409-ADC1-E4AB79E5F48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0DDF-4AEA-963A-691EF3204B67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0CC64586-D55E-4339-BD22-5A56190179E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0DDF-4AEA-963A-691EF3204B67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BADCF046-A704-4EBF-BA4B-0EC8892286C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0DDF-4AEA-963A-691EF3204B67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407EAC9C-706B-4F1A-98B0-C54DE56FCD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0DDF-4AEA-963A-691EF3204B67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010660C2-DBB6-4CF7-A8AF-FD4368C52B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0DDF-4AEA-963A-691EF3204B67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9C4A11CC-2BC2-4730-9B94-5C45CD9ED3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0DDF-4AEA-963A-691EF3204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WAM!$B$8:$B$90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WAM!$C$8:$C$90</c:f>
              <c:numCache>
                <c:formatCode>0.0</c:formatCode>
                <c:ptCount val="8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 formatCode="0.00">
                  <c:v>42.551403836920038</c:v>
                </c:pt>
                <c:pt idx="42" formatCode="0.00">
                  <c:v>39.6997120657254</c:v>
                </c:pt>
                <c:pt idx="43" formatCode="0.00">
                  <c:v>41.967334731719113</c:v>
                </c:pt>
                <c:pt idx="44" formatCode="0.00">
                  <c:v>42.730746179162182</c:v>
                </c:pt>
                <c:pt idx="45" formatCode="0.00">
                  <c:v>44.16374861720292</c:v>
                </c:pt>
                <c:pt idx="46" formatCode="0.00">
                  <c:v>42.029979630872887</c:v>
                </c:pt>
                <c:pt idx="47" formatCode="0.00">
                  <c:v>41.007666260575206</c:v>
                </c:pt>
                <c:pt idx="48" formatCode="0.00">
                  <c:v>37.937121340515439</c:v>
                </c:pt>
                <c:pt idx="49" formatCode="0.00">
                  <c:v>37.870878645431397</c:v>
                </c:pt>
                <c:pt idx="50" formatCode="0.00">
                  <c:v>36.583778559859176</c:v>
                </c:pt>
                <c:pt idx="51" formatCode="0.00">
                  <c:v>36.158157819520802</c:v>
                </c:pt>
                <c:pt idx="52" formatCode="0.00">
                  <c:v>36.407173574748441</c:v>
                </c:pt>
                <c:pt idx="53" formatCode="0.00">
                  <c:v>37.132582139754682</c:v>
                </c:pt>
                <c:pt idx="54" formatCode="0.00">
                  <c:v>37.393101437334174</c:v>
                </c:pt>
                <c:pt idx="55" formatCode="0.00">
                  <c:v>37.364200054290251</c:v>
                </c:pt>
                <c:pt idx="56" formatCode="0.00">
                  <c:v>38.724742914179345</c:v>
                </c:pt>
                <c:pt idx="57" formatCode="0.00">
                  <c:v>39.112067062213704</c:v>
                </c:pt>
                <c:pt idx="58" formatCode="0.00">
                  <c:v>39.502816314188848</c:v>
                </c:pt>
                <c:pt idx="59" formatCode="0.00">
                  <c:v>39.950200570806409</c:v>
                </c:pt>
                <c:pt idx="60" formatCode="0.00">
                  <c:v>39.925010131859032</c:v>
                </c:pt>
                <c:pt idx="61" formatCode="0.00">
                  <c:v>39.75863072429123</c:v>
                </c:pt>
                <c:pt idx="62" formatCode="0.00">
                  <c:v>40.175462122721363</c:v>
                </c:pt>
                <c:pt idx="63" formatCode="0.00">
                  <c:v>36.157915910449226</c:v>
                </c:pt>
                <c:pt idx="64" formatCode="0.00">
                  <c:v>32.140369698177089</c:v>
                </c:pt>
                <c:pt idx="65" formatCode="0.00">
                  <c:v>28.122823485904956</c:v>
                </c:pt>
                <c:pt idx="66" formatCode="0.00">
                  <c:v>24.105277273632819</c:v>
                </c:pt>
                <c:pt idx="67" formatCode="0.00">
                  <c:v>20.087731061360682</c:v>
                </c:pt>
                <c:pt idx="68" formatCode="0.00">
                  <c:v>16.070184849088545</c:v>
                </c:pt>
                <c:pt idx="69" formatCode="0.00">
                  <c:v>12.052638636816411</c:v>
                </c:pt>
                <c:pt idx="70" formatCode="0.00">
                  <c:v>8.0350924245442741</c:v>
                </c:pt>
                <c:pt idx="71" formatCode="0.00">
                  <c:v>4.0175462122721388</c:v>
                </c:pt>
                <c:pt idx="72" formatCode="0.0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WAM!$P$8:$P$130</c15:f>
                <c15:dlblRangeCache>
                  <c:ptCount val="123"/>
                  <c:pt idx="42">
                    <c:v>10%</c:v>
                  </c:pt>
                  <c:pt idx="47">
                    <c:v>7%</c:v>
                  </c:pt>
                  <c:pt idx="52">
                    <c:v>17%</c:v>
                  </c:pt>
                  <c:pt idx="62">
                    <c:v>9%</c:v>
                  </c:pt>
                  <c:pt idx="72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0DDF-4AEA-963A-691EF3204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WAM!$D$7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WAM!$B$8:$B$90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WAM!$D$8:$D$90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0.62398515281643696</c:v>
                      </c:pt>
                      <c:pt idx="41">
                        <c:v>0.58922091624152584</c:v>
                      </c:pt>
                      <c:pt idx="42">
                        <c:v>0.59473031271743648</c:v>
                      </c:pt>
                      <c:pt idx="43">
                        <c:v>0.58383889273555045</c:v>
                      </c:pt>
                      <c:pt idx="44">
                        <c:v>0.57804438643499789</c:v>
                      </c:pt>
                      <c:pt idx="45">
                        <c:v>0.57460283572353643</c:v>
                      </c:pt>
                      <c:pt idx="46">
                        <c:v>0.56856205420313466</c:v>
                      </c:pt>
                      <c:pt idx="47">
                        <c:v>0.56052726293969291</c:v>
                      </c:pt>
                      <c:pt idx="48">
                        <c:v>0.55036766728215014</c:v>
                      </c:pt>
                      <c:pt idx="49">
                        <c:v>0.54064817881673566</c:v>
                      </c:pt>
                      <c:pt idx="50">
                        <c:v>0.52961966802894</c:v>
                      </c:pt>
                      <c:pt idx="51">
                        <c:v>0.51835836578488603</c:v>
                      </c:pt>
                      <c:pt idx="52">
                        <c:v>0.50714823688842259</c:v>
                      </c:pt>
                      <c:pt idx="53">
                        <c:v>0.50844005447261675</c:v>
                      </c:pt>
                      <c:pt idx="54">
                        <c:v>0.5096238310852369</c:v>
                      </c:pt>
                      <c:pt idx="55">
                        <c:v>0.51094099386105918</c:v>
                      </c:pt>
                      <c:pt idx="56">
                        <c:v>0.51236918056843839</c:v>
                      </c:pt>
                      <c:pt idx="57">
                        <c:v>0.51388704784276373</c:v>
                      </c:pt>
                      <c:pt idx="58">
                        <c:v>0.51484044882840418</c:v>
                      </c:pt>
                      <c:pt idx="59">
                        <c:v>0.51598174847674161</c:v>
                      </c:pt>
                      <c:pt idx="60">
                        <c:v>0.51720791300392288</c:v>
                      </c:pt>
                      <c:pt idx="61">
                        <c:v>0.51831832116019383</c:v>
                      </c:pt>
                      <c:pt idx="62">
                        <c:v>0.5195613861832552</c:v>
                      </c:pt>
                      <c:pt idx="63">
                        <c:v>0.5195613861832552</c:v>
                      </c:pt>
                      <c:pt idx="64">
                        <c:v>0.5195613861832552</c:v>
                      </c:pt>
                      <c:pt idx="65">
                        <c:v>0.5195613861832552</c:v>
                      </c:pt>
                      <c:pt idx="66">
                        <c:v>0.5195613861832552</c:v>
                      </c:pt>
                      <c:pt idx="67">
                        <c:v>0.5195613861832552</c:v>
                      </c:pt>
                      <c:pt idx="68">
                        <c:v>0.5195613861832552</c:v>
                      </c:pt>
                      <c:pt idx="69">
                        <c:v>0.5195613861832552</c:v>
                      </c:pt>
                      <c:pt idx="70">
                        <c:v>0.5195613861832552</c:v>
                      </c:pt>
                      <c:pt idx="71">
                        <c:v>0.5195613861832552</c:v>
                      </c:pt>
                      <c:pt idx="72">
                        <c:v>0.5195613861832552</c:v>
                      </c:pt>
                      <c:pt idx="73">
                        <c:v>0.5195613861832552</c:v>
                      </c:pt>
                      <c:pt idx="74">
                        <c:v>0.5195613861832552</c:v>
                      </c:pt>
                      <c:pt idx="75">
                        <c:v>0.5195613861832552</c:v>
                      </c:pt>
                      <c:pt idx="76">
                        <c:v>0.5195613861832552</c:v>
                      </c:pt>
                      <c:pt idx="77">
                        <c:v>0.5195613861832552</c:v>
                      </c:pt>
                      <c:pt idx="78">
                        <c:v>0.5195613861832552</c:v>
                      </c:pt>
                      <c:pt idx="79">
                        <c:v>0.5195613861832552</c:v>
                      </c:pt>
                      <c:pt idx="80">
                        <c:v>0.5195613861832552</c:v>
                      </c:pt>
                      <c:pt idx="81">
                        <c:v>0.5195613861832552</c:v>
                      </c:pt>
                      <c:pt idx="82">
                        <c:v>0.5195613861832552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0DDF-4AEA-963A-691EF3204B6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 formatCode="0.0">
                        <c:v>2.5702323908143719E-2</c:v>
                      </c:pt>
                      <c:pt idx="41">
                        <c:v>2.3004457248979732E-2</c:v>
                      </c:pt>
                      <c:pt idx="42">
                        <c:v>2.2983973024124787E-2</c:v>
                      </c:pt>
                      <c:pt idx="43">
                        <c:v>2.2585600488491758E-2</c:v>
                      </c:pt>
                      <c:pt idx="44">
                        <c:v>2.2263098238083701E-2</c:v>
                      </c:pt>
                      <c:pt idx="45">
                        <c:v>2.1964318484345276E-2</c:v>
                      </c:pt>
                      <c:pt idx="46">
                        <c:v>2.1549354148568324E-2</c:v>
                      </c:pt>
                      <c:pt idx="47">
                        <c:v>2.11495104961863E-2</c:v>
                      </c:pt>
                      <c:pt idx="48">
                        <c:v>2.0657539633650593E-2</c:v>
                      </c:pt>
                      <c:pt idx="49">
                        <c:v>2.0278428563695598E-2</c:v>
                      </c:pt>
                      <c:pt idx="50">
                        <c:v>1.9840267160055495E-2</c:v>
                      </c:pt>
                      <c:pt idx="51">
                        <c:v>1.9429517461533281E-2</c:v>
                      </c:pt>
                      <c:pt idx="52">
                        <c:v>1.9050040558681376E-2</c:v>
                      </c:pt>
                      <c:pt idx="53">
                        <c:v>1.9080954359167127E-2</c:v>
                      </c:pt>
                      <c:pt idx="54">
                        <c:v>1.9057902924445574E-2</c:v>
                      </c:pt>
                      <c:pt idx="55">
                        <c:v>1.9063571295598422E-2</c:v>
                      </c:pt>
                      <c:pt idx="56">
                        <c:v>1.9089487734951706E-2</c:v>
                      </c:pt>
                      <c:pt idx="57">
                        <c:v>1.913849913108135E-2</c:v>
                      </c:pt>
                      <c:pt idx="58">
                        <c:v>1.9124297380356606E-2</c:v>
                      </c:pt>
                      <c:pt idx="59">
                        <c:v>1.9141829848980128E-2</c:v>
                      </c:pt>
                      <c:pt idx="60">
                        <c:v>1.9174190364964139E-2</c:v>
                      </c:pt>
                      <c:pt idx="61">
                        <c:v>1.9153993935809816E-2</c:v>
                      </c:pt>
                      <c:pt idx="62">
                        <c:v>1.9163107394393294E-2</c:v>
                      </c:pt>
                      <c:pt idx="63">
                        <c:v>1.9163107394393294E-2</c:v>
                      </c:pt>
                      <c:pt idx="64">
                        <c:v>1.9163107394393294E-2</c:v>
                      </c:pt>
                      <c:pt idx="65">
                        <c:v>1.9163107394393294E-2</c:v>
                      </c:pt>
                      <c:pt idx="66">
                        <c:v>1.9163107394393294E-2</c:v>
                      </c:pt>
                      <c:pt idx="67">
                        <c:v>1.9163107394393294E-2</c:v>
                      </c:pt>
                      <c:pt idx="68">
                        <c:v>1.9163107394393294E-2</c:v>
                      </c:pt>
                      <c:pt idx="69">
                        <c:v>1.9163107394393294E-2</c:v>
                      </c:pt>
                      <c:pt idx="70">
                        <c:v>1.9163107394393294E-2</c:v>
                      </c:pt>
                      <c:pt idx="71">
                        <c:v>1.9163107394393294E-2</c:v>
                      </c:pt>
                      <c:pt idx="72">
                        <c:v>1.9163107394393294E-2</c:v>
                      </c:pt>
                      <c:pt idx="73" formatCode="0.0">
                        <c:v>1.9163107394393294E-2</c:v>
                      </c:pt>
                      <c:pt idx="74" formatCode="0.0">
                        <c:v>1.9163107394393294E-2</c:v>
                      </c:pt>
                      <c:pt idx="75" formatCode="0.0">
                        <c:v>1.9163107394393294E-2</c:v>
                      </c:pt>
                      <c:pt idx="76" formatCode="0.0">
                        <c:v>1.9163107394393294E-2</c:v>
                      </c:pt>
                      <c:pt idx="77" formatCode="0.0">
                        <c:v>1.9163107394393294E-2</c:v>
                      </c:pt>
                      <c:pt idx="78" formatCode="0.0">
                        <c:v>1.9163107394393294E-2</c:v>
                      </c:pt>
                      <c:pt idx="79" formatCode="0.0">
                        <c:v>1.9163107394393294E-2</c:v>
                      </c:pt>
                      <c:pt idx="80" formatCode="0.0">
                        <c:v>1.9163107394393294E-2</c:v>
                      </c:pt>
                      <c:pt idx="81" formatCode="0.0">
                        <c:v>1.9163107394393294E-2</c:v>
                      </c:pt>
                      <c:pt idx="82" formatCode="0.0">
                        <c:v>1.9163107394393294E-2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0DDF-4AEA-963A-691EF3204B67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Methane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WAM!$D$7</c:f>
              <c:strCache>
                <c:ptCount val="1"/>
                <c:pt idx="0">
                  <c:v>CH4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B34600A-5D85-4CA4-BEB0-D456A6D60E0C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D4F-4518-BB7D-95218171C7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4F-4518-BB7D-95218171C7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4F-4518-BB7D-95218171C7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4F-4518-BB7D-95218171C7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4F-4518-BB7D-95218171C7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4F-4518-BB7D-95218171C7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4F-4518-BB7D-95218171C7F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4F-4518-BB7D-95218171C7F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4F-4518-BB7D-95218171C7F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4F-4518-BB7D-95218171C7F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4F-4518-BB7D-95218171C7F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4F-4518-BB7D-95218171C7F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A1D3B79-EDA4-4B40-A88D-7415B431F6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D4F-4518-BB7D-95218171C7F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1783B8D-E397-4DD1-B605-5084E51EC6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D4F-4518-BB7D-95218171C7F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0E4F3FA-71F3-4941-97B0-8BD8FDC307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D4F-4518-BB7D-95218171C7F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0A17AC0-144F-46A4-AAC2-11C12AEB3AF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D4F-4518-BB7D-95218171C7F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1EAC4F1-7AF6-46F3-8123-FAA83675A0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D4F-4518-BB7D-95218171C7F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3F6F6CE-22A3-4888-B9E1-4BAB21E5D3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D4F-4518-BB7D-95218171C7F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6D1A189-FB8E-4664-AC51-3D4AB1A55A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D4F-4518-BB7D-95218171C7F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D46DDCE-045F-4526-AEAC-A1D745466DA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D4F-4518-BB7D-95218171C7F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F59429D-7FA8-44EB-B00A-46B867D9E18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D4F-4518-BB7D-95218171C7F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1FE8D2F-32CA-4BC4-AED1-CC19C420D8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D4F-4518-BB7D-95218171C7F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3CBEA2C-A7F9-43E6-82CC-56E4752A13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D4F-4518-BB7D-95218171C7F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A753E540-BF42-4801-8E78-7AC8E41826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D4F-4518-BB7D-95218171C7F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90A6B8E-986C-4333-900C-4E55D6F4C97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D4F-4518-BB7D-95218171C7F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70583C29-D6FC-4D67-92EB-2E8883368DB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D4F-4518-BB7D-95218171C7F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BEFFB25-3DE9-4B47-B9B8-A0EAA4D911E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D4F-4518-BB7D-95218171C7F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9135AAF-54ED-4ABB-B38C-2227869247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D4F-4518-BB7D-95218171C7F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D54481D-4F2A-478F-86B4-01EACD6CE0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D4F-4518-BB7D-95218171C7F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3E4D8E9-EC4E-424E-8EE7-F253D03B17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D4F-4518-BB7D-95218171C7F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81F2A55-E799-4EE3-9D4D-2E469C22BC2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D4F-4518-BB7D-95218171C7F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DFCFC74B-43FD-45D5-8984-B9BE2A0CBC5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D4F-4518-BB7D-95218171C7F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C372962-A2F7-4DAF-9876-FB43D6458D9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D4F-4518-BB7D-95218171C7F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9B07CF1-C443-470E-945E-1B3724A1130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D4F-4518-BB7D-95218171C7F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386E804-2C20-4A21-AC1B-DED0F4C2EE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D4F-4518-BB7D-95218171C7F6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338B553-46D3-4B89-B2FC-7A3918C174F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CD4F-4518-BB7D-95218171C7F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0CF36F4-E65D-4C13-935B-FAAE7FD449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D4F-4518-BB7D-95218171C7F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CA6E537-465C-4182-BBFA-8D96EC8F60C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D4F-4518-BB7D-95218171C7F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D37901F-422E-48EC-896B-C889E33C9F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CD4F-4518-BB7D-95218171C7F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B5D30A86-CF59-4FC1-B8D7-F908726A56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CD4F-4518-BB7D-95218171C7F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0668DD7-E007-4AC1-AD9C-0A3EF8E737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D4F-4518-BB7D-95218171C7F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BC47F8E7-D5E4-4C50-A3D4-AB776DFAC9D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CD4F-4518-BB7D-95218171C7F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7E98D11-919B-44E8-8A67-035B320E11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CD4F-4518-BB7D-95218171C7F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5489D58-B59D-42D2-9578-493F8E41843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CD4F-4518-BB7D-95218171C7F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51D17C89-DD41-47D4-9112-5384731C69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CD4F-4518-BB7D-95218171C7F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159CB6D-BF1B-4719-8433-9F0FD6B8DE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CD4F-4518-BB7D-95218171C7F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003BD8A-E581-4D16-8C42-75766CFFEA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CD4F-4518-BB7D-95218171C7F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C589A74B-F3B0-4A2D-8074-05C2059F89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CD4F-4518-BB7D-95218171C7F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1EE2563E-DA29-4BB4-AB33-8490743DAB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CD4F-4518-BB7D-95218171C7F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0D4B98FF-F091-4C5A-A02E-111935FBF1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CD4F-4518-BB7D-95218171C7F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E0B293D-4B40-43DD-913C-65BF834E30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CD4F-4518-BB7D-95218171C7F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B467C41-01F8-4193-B740-ACCB74DF4D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CD4F-4518-BB7D-95218171C7F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0CB17B7F-7DCF-4C69-B526-3FEB28D5E1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CD4F-4518-BB7D-95218171C7F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E47DDCB7-B049-4263-903D-BD6AE3BECD8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CD4F-4518-BB7D-95218171C7F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CD6C439-16F8-40BD-8605-2A606FD8E57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CD4F-4518-BB7D-95218171C7F6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1033A65A-9589-4C28-A00C-A0E2C201121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CD4F-4518-BB7D-95218171C7F6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6F5D923-A101-4D73-8F12-7F1D91432C6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CD4F-4518-BB7D-95218171C7F6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B67078CE-EFF9-4C28-8F15-7791E8C1A69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CD4F-4518-BB7D-95218171C7F6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738C2916-DD6B-429B-88E0-C1E3557B81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CD4F-4518-BB7D-95218171C7F6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B2FEA6D8-9C20-458C-82C3-158256A4A9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CD4F-4518-BB7D-95218171C7F6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0C98A4ED-64E7-479B-BB99-8484A25E52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CD4F-4518-BB7D-95218171C7F6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9A152CFC-72D2-48EE-9FB5-090F6BC25CE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CD4F-4518-BB7D-95218171C7F6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3EACB78E-6B38-45B2-AF5E-8F718E3055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CD4F-4518-BB7D-95218171C7F6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B9C710F7-06B9-486F-B4D3-013371C46A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CD4F-4518-BB7D-95218171C7F6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EF2402D-E8F5-4CF3-9E7F-56D61AFAD55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CD4F-4518-BB7D-95218171C7F6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B366579E-FB5D-460C-A332-437C9E0A7F6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CD4F-4518-BB7D-95218171C7F6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3F50823-E4C5-42A3-9337-32AF8AC0A7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CD4F-4518-BB7D-95218171C7F6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D213BB26-033B-4E44-95DF-205B20BA2E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CD4F-4518-BB7D-95218171C7F6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0418E512-CFEB-47A7-AF6C-F1F6E741B0C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CD4F-4518-BB7D-95218171C7F6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7E0FD2B1-B399-4B07-9710-F9BDE74998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CD4F-4518-BB7D-95218171C7F6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EA46B11-C5DC-4428-87A8-493ADCCCC98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CD4F-4518-BB7D-95218171C7F6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C009D77F-74F5-4003-9E58-888EB130A4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CD4F-4518-BB7D-95218171C7F6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E793139D-C069-460F-9446-77AF919BB2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CD4F-4518-BB7D-95218171C7F6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01CDAF3-793C-48A6-9B08-41C93ACF1B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CD4F-4518-BB7D-95218171C7F6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404AF0DD-8AF2-4378-8A7E-0D4C40A8DC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CD4F-4518-BB7D-95218171C7F6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3A4A287E-0391-4BED-AFDF-C3DE22BB5E8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CD4F-4518-BB7D-95218171C7F6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88BECCC3-F7DD-422A-857D-1F030381824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CD4F-4518-BB7D-95218171C7F6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A1D6B11E-9E7E-4C7D-A2E3-88905468C2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CD4F-4518-BB7D-95218171C7F6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BE1A815E-605A-4E09-8196-06FD57117B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CD4F-4518-BB7D-95218171C7F6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E6EBE55B-0B74-4F46-841A-1BCF8CD9F4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CD4F-4518-BB7D-95218171C7F6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07BA1BC1-A5F1-4D9D-B4C6-8F7F7B3D0CF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CD4F-4518-BB7D-95218171C7F6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0B12AD1D-CE7E-45E7-881F-557E32E25A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CD4F-4518-BB7D-95218171C7F6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BB641D02-8DF8-42B1-A84D-06831C1BBA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CD4F-4518-BB7D-95218171C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WAM!$B$8:$B$90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WAM!$D$8:$D$90</c:f>
              <c:numCache>
                <c:formatCode>0.00</c:formatCode>
                <c:ptCount val="83"/>
                <c:pt idx="12">
                  <c:v>0.56846617435307711</c:v>
                </c:pt>
                <c:pt idx="13">
                  <c:v>0.57899497527056076</c:v>
                </c:pt>
                <c:pt idx="14">
                  <c:v>0.58638316837148285</c:v>
                </c:pt>
                <c:pt idx="15">
                  <c:v>0.59483377727766906</c:v>
                </c:pt>
                <c:pt idx="16">
                  <c:v>0.59526602098909942</c:v>
                </c:pt>
                <c:pt idx="17">
                  <c:v>0.60059169683666336</c:v>
                </c:pt>
                <c:pt idx="18">
                  <c:v>0.61511089079967096</c:v>
                </c:pt>
                <c:pt idx="19">
                  <c:v>0.61488733682276098</c:v>
                </c:pt>
                <c:pt idx="20">
                  <c:v>0.62689098869315008</c:v>
                </c:pt>
                <c:pt idx="21">
                  <c:v>0.60985790475145341</c:v>
                </c:pt>
                <c:pt idx="22">
                  <c:v>0.59281659514673379</c:v>
                </c:pt>
                <c:pt idx="23">
                  <c:v>0.60653930034350212</c:v>
                </c:pt>
                <c:pt idx="24">
                  <c:v>0.59584131612224078</c:v>
                </c:pt>
                <c:pt idx="25">
                  <c:v>0.6315771849487738</c:v>
                </c:pt>
                <c:pt idx="26">
                  <c:v>0.58670195261344882</c:v>
                </c:pt>
                <c:pt idx="27">
                  <c:v>0.57896199008081672</c:v>
                </c:pt>
                <c:pt idx="28">
                  <c:v>0.58365900940295345</c:v>
                </c:pt>
                <c:pt idx="29">
                  <c:v>0.54949163157015002</c:v>
                </c:pt>
                <c:pt idx="30">
                  <c:v>0.54327868568762094</c:v>
                </c:pt>
                <c:pt idx="31">
                  <c:v>0.52849395261365861</c:v>
                </c:pt>
                <c:pt idx="32">
                  <c:v>0.53088913019285489</c:v>
                </c:pt>
                <c:pt idx="33">
                  <c:v>0.52067847685625956</c:v>
                </c:pt>
                <c:pt idx="34">
                  <c:v>0.54122860081163016</c:v>
                </c:pt>
                <c:pt idx="35">
                  <c:v>0.55563293823158555</c:v>
                </c:pt>
                <c:pt idx="36">
                  <c:v>0.56469371673730473</c:v>
                </c:pt>
                <c:pt idx="37">
                  <c:v>0.57912274054536717</c:v>
                </c:pt>
                <c:pt idx="38">
                  <c:v>0.59326897730059025</c:v>
                </c:pt>
                <c:pt idx="39">
                  <c:v>0.62003341514735055</c:v>
                </c:pt>
                <c:pt idx="40" formatCode="0.0">
                  <c:v>0.62398515281643696</c:v>
                </c:pt>
                <c:pt idx="41">
                  <c:v>0.58922091624152584</c:v>
                </c:pt>
                <c:pt idx="42">
                  <c:v>0.59473031271743648</c:v>
                </c:pt>
                <c:pt idx="43">
                  <c:v>0.58383889273555045</c:v>
                </c:pt>
                <c:pt idx="44">
                  <c:v>0.57804438643499789</c:v>
                </c:pt>
                <c:pt idx="45">
                  <c:v>0.57460283572353643</c:v>
                </c:pt>
                <c:pt idx="46">
                  <c:v>0.56856205420313466</c:v>
                </c:pt>
                <c:pt idx="47">
                  <c:v>0.56052726293969291</c:v>
                </c:pt>
                <c:pt idx="48">
                  <c:v>0.55036766728215014</c:v>
                </c:pt>
                <c:pt idx="49">
                  <c:v>0.54064817881673566</c:v>
                </c:pt>
                <c:pt idx="50">
                  <c:v>0.52961966802894</c:v>
                </c:pt>
                <c:pt idx="51">
                  <c:v>0.51835836578488603</c:v>
                </c:pt>
                <c:pt idx="52">
                  <c:v>0.50714823688842259</c:v>
                </c:pt>
                <c:pt idx="53">
                  <c:v>0.50844005447261675</c:v>
                </c:pt>
                <c:pt idx="54">
                  <c:v>0.5096238310852369</c:v>
                </c:pt>
                <c:pt idx="55">
                  <c:v>0.51094099386105918</c:v>
                </c:pt>
                <c:pt idx="56">
                  <c:v>0.51236918056843839</c:v>
                </c:pt>
                <c:pt idx="57">
                  <c:v>0.51388704784276373</c:v>
                </c:pt>
                <c:pt idx="58">
                  <c:v>0.51484044882840418</c:v>
                </c:pt>
                <c:pt idx="59">
                  <c:v>0.51598174847674161</c:v>
                </c:pt>
                <c:pt idx="60">
                  <c:v>0.51720791300392288</c:v>
                </c:pt>
                <c:pt idx="61">
                  <c:v>0.51831832116019383</c:v>
                </c:pt>
                <c:pt idx="62">
                  <c:v>0.5195613861832552</c:v>
                </c:pt>
                <c:pt idx="63">
                  <c:v>0.5195613861832552</c:v>
                </c:pt>
                <c:pt idx="64">
                  <c:v>0.5195613861832552</c:v>
                </c:pt>
                <c:pt idx="65">
                  <c:v>0.5195613861832552</c:v>
                </c:pt>
                <c:pt idx="66">
                  <c:v>0.5195613861832552</c:v>
                </c:pt>
                <c:pt idx="67">
                  <c:v>0.5195613861832552</c:v>
                </c:pt>
                <c:pt idx="68">
                  <c:v>0.5195613861832552</c:v>
                </c:pt>
                <c:pt idx="69">
                  <c:v>0.5195613861832552</c:v>
                </c:pt>
                <c:pt idx="70">
                  <c:v>0.5195613861832552</c:v>
                </c:pt>
                <c:pt idx="71">
                  <c:v>0.5195613861832552</c:v>
                </c:pt>
                <c:pt idx="72">
                  <c:v>0.5195613861832552</c:v>
                </c:pt>
                <c:pt idx="73">
                  <c:v>0.5195613861832552</c:v>
                </c:pt>
                <c:pt idx="74">
                  <c:v>0.5195613861832552</c:v>
                </c:pt>
                <c:pt idx="75">
                  <c:v>0.5195613861832552</c:v>
                </c:pt>
                <c:pt idx="76">
                  <c:v>0.5195613861832552</c:v>
                </c:pt>
                <c:pt idx="77">
                  <c:v>0.5195613861832552</c:v>
                </c:pt>
                <c:pt idx="78">
                  <c:v>0.5195613861832552</c:v>
                </c:pt>
                <c:pt idx="79">
                  <c:v>0.5195613861832552</c:v>
                </c:pt>
                <c:pt idx="80">
                  <c:v>0.5195613861832552</c:v>
                </c:pt>
                <c:pt idx="81">
                  <c:v>0.5195613861832552</c:v>
                </c:pt>
                <c:pt idx="82">
                  <c:v>0.5195613861832552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WAM!$Q$8:$Q$130</c15:f>
                <c15:dlblRangeCache>
                  <c:ptCount val="123"/>
                  <c:pt idx="42">
                    <c:v>5%</c:v>
                  </c:pt>
                  <c:pt idx="47">
                    <c:v>10%</c:v>
                  </c:pt>
                  <c:pt idx="52">
                    <c:v>19%</c:v>
                  </c:pt>
                  <c:pt idx="62">
                    <c:v>17%</c:v>
                  </c:pt>
                  <c:pt idx="72">
                    <c:v>17%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CD4F-4518-BB7D-95218171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WAM!$C$7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WAM!$B$8:$B$90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WAM!$C$8:$C$90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42.551403836920038</c:v>
                      </c:pt>
                      <c:pt idx="42" formatCode="0.00">
                        <c:v>39.6997120657254</c:v>
                      </c:pt>
                      <c:pt idx="43" formatCode="0.00">
                        <c:v>41.967334731719113</c:v>
                      </c:pt>
                      <c:pt idx="44" formatCode="0.00">
                        <c:v>42.730746179162182</c:v>
                      </c:pt>
                      <c:pt idx="45" formatCode="0.00">
                        <c:v>44.16374861720292</c:v>
                      </c:pt>
                      <c:pt idx="46" formatCode="0.00">
                        <c:v>42.029979630872887</c:v>
                      </c:pt>
                      <c:pt idx="47" formatCode="0.00">
                        <c:v>41.007666260575206</c:v>
                      </c:pt>
                      <c:pt idx="48" formatCode="0.00">
                        <c:v>37.937121340515439</c:v>
                      </c:pt>
                      <c:pt idx="49" formatCode="0.00">
                        <c:v>37.870878645431397</c:v>
                      </c:pt>
                      <c:pt idx="50" formatCode="0.00">
                        <c:v>36.583778559859176</c:v>
                      </c:pt>
                      <c:pt idx="51" formatCode="0.00">
                        <c:v>36.158157819520802</c:v>
                      </c:pt>
                      <c:pt idx="52" formatCode="0.00">
                        <c:v>36.407173574748441</c:v>
                      </c:pt>
                      <c:pt idx="53" formatCode="0.00">
                        <c:v>37.132582139754682</c:v>
                      </c:pt>
                      <c:pt idx="54" formatCode="0.00">
                        <c:v>37.393101437334174</c:v>
                      </c:pt>
                      <c:pt idx="55" formatCode="0.00">
                        <c:v>37.364200054290251</c:v>
                      </c:pt>
                      <c:pt idx="56" formatCode="0.00">
                        <c:v>38.724742914179345</c:v>
                      </c:pt>
                      <c:pt idx="57" formatCode="0.00">
                        <c:v>39.112067062213704</c:v>
                      </c:pt>
                      <c:pt idx="58" formatCode="0.00">
                        <c:v>39.502816314188848</c:v>
                      </c:pt>
                      <c:pt idx="59" formatCode="0.00">
                        <c:v>39.950200570806409</c:v>
                      </c:pt>
                      <c:pt idx="60" formatCode="0.00">
                        <c:v>39.925010131859032</c:v>
                      </c:pt>
                      <c:pt idx="61" formatCode="0.00">
                        <c:v>39.75863072429123</c:v>
                      </c:pt>
                      <c:pt idx="62" formatCode="0.00">
                        <c:v>40.175462122721363</c:v>
                      </c:pt>
                      <c:pt idx="63" formatCode="0.00">
                        <c:v>36.157915910449226</c:v>
                      </c:pt>
                      <c:pt idx="64" formatCode="0.00">
                        <c:v>32.140369698177089</c:v>
                      </c:pt>
                      <c:pt idx="65" formatCode="0.00">
                        <c:v>28.122823485904956</c:v>
                      </c:pt>
                      <c:pt idx="66" formatCode="0.00">
                        <c:v>24.105277273632819</c:v>
                      </c:pt>
                      <c:pt idx="67" formatCode="0.00">
                        <c:v>20.087731061360682</c:v>
                      </c:pt>
                      <c:pt idx="68" formatCode="0.00">
                        <c:v>16.070184849088545</c:v>
                      </c:pt>
                      <c:pt idx="69" formatCode="0.00">
                        <c:v>12.052638636816411</c:v>
                      </c:pt>
                      <c:pt idx="70" formatCode="0.00">
                        <c:v>8.0350924245442741</c:v>
                      </c:pt>
                      <c:pt idx="71" formatCode="0.00">
                        <c:v>4.0175462122721388</c:v>
                      </c:pt>
                      <c:pt idx="72" formatCode="0.00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CD4F-4518-BB7D-95218171C7F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 formatCode="0.0">
                        <c:v>2.5702323908143719E-2</c:v>
                      </c:pt>
                      <c:pt idx="41">
                        <c:v>2.3004457248979732E-2</c:v>
                      </c:pt>
                      <c:pt idx="42">
                        <c:v>2.2983973024124787E-2</c:v>
                      </c:pt>
                      <c:pt idx="43">
                        <c:v>2.2585600488491758E-2</c:v>
                      </c:pt>
                      <c:pt idx="44">
                        <c:v>2.2263098238083701E-2</c:v>
                      </c:pt>
                      <c:pt idx="45">
                        <c:v>2.1964318484345276E-2</c:v>
                      </c:pt>
                      <c:pt idx="46">
                        <c:v>2.1549354148568324E-2</c:v>
                      </c:pt>
                      <c:pt idx="47">
                        <c:v>2.11495104961863E-2</c:v>
                      </c:pt>
                      <c:pt idx="48">
                        <c:v>2.0657539633650593E-2</c:v>
                      </c:pt>
                      <c:pt idx="49">
                        <c:v>2.0278428563695598E-2</c:v>
                      </c:pt>
                      <c:pt idx="50">
                        <c:v>1.9840267160055495E-2</c:v>
                      </c:pt>
                      <c:pt idx="51">
                        <c:v>1.9429517461533281E-2</c:v>
                      </c:pt>
                      <c:pt idx="52">
                        <c:v>1.9050040558681376E-2</c:v>
                      </c:pt>
                      <c:pt idx="53">
                        <c:v>1.9080954359167127E-2</c:v>
                      </c:pt>
                      <c:pt idx="54">
                        <c:v>1.9057902924445574E-2</c:v>
                      </c:pt>
                      <c:pt idx="55">
                        <c:v>1.9063571295598422E-2</c:v>
                      </c:pt>
                      <c:pt idx="56">
                        <c:v>1.9089487734951706E-2</c:v>
                      </c:pt>
                      <c:pt idx="57">
                        <c:v>1.913849913108135E-2</c:v>
                      </c:pt>
                      <c:pt idx="58">
                        <c:v>1.9124297380356606E-2</c:v>
                      </c:pt>
                      <c:pt idx="59">
                        <c:v>1.9141829848980128E-2</c:v>
                      </c:pt>
                      <c:pt idx="60">
                        <c:v>1.9174190364964139E-2</c:v>
                      </c:pt>
                      <c:pt idx="61">
                        <c:v>1.9153993935809816E-2</c:v>
                      </c:pt>
                      <c:pt idx="62">
                        <c:v>1.9163107394393294E-2</c:v>
                      </c:pt>
                      <c:pt idx="63">
                        <c:v>1.9163107394393294E-2</c:v>
                      </c:pt>
                      <c:pt idx="64">
                        <c:v>1.9163107394393294E-2</c:v>
                      </c:pt>
                      <c:pt idx="65">
                        <c:v>1.9163107394393294E-2</c:v>
                      </c:pt>
                      <c:pt idx="66">
                        <c:v>1.9163107394393294E-2</c:v>
                      </c:pt>
                      <c:pt idx="67">
                        <c:v>1.9163107394393294E-2</c:v>
                      </c:pt>
                      <c:pt idx="68">
                        <c:v>1.9163107394393294E-2</c:v>
                      </c:pt>
                      <c:pt idx="69">
                        <c:v>1.9163107394393294E-2</c:v>
                      </c:pt>
                      <c:pt idx="70">
                        <c:v>1.9163107394393294E-2</c:v>
                      </c:pt>
                      <c:pt idx="71">
                        <c:v>1.9163107394393294E-2</c:v>
                      </c:pt>
                      <c:pt idx="72">
                        <c:v>1.9163107394393294E-2</c:v>
                      </c:pt>
                      <c:pt idx="73" formatCode="0.0">
                        <c:v>1.9163107394393294E-2</c:v>
                      </c:pt>
                      <c:pt idx="74" formatCode="0.0">
                        <c:v>1.9163107394393294E-2</c:v>
                      </c:pt>
                      <c:pt idx="75" formatCode="0.0">
                        <c:v>1.9163107394393294E-2</c:v>
                      </c:pt>
                      <c:pt idx="76" formatCode="0.0">
                        <c:v>1.9163107394393294E-2</c:v>
                      </c:pt>
                      <c:pt idx="77" formatCode="0.0">
                        <c:v>1.9163107394393294E-2</c:v>
                      </c:pt>
                      <c:pt idx="78" formatCode="0.0">
                        <c:v>1.9163107394393294E-2</c:v>
                      </c:pt>
                      <c:pt idx="79" formatCode="0.0">
                        <c:v>1.9163107394393294E-2</c:v>
                      </c:pt>
                      <c:pt idx="80" formatCode="0.0">
                        <c:v>1.9163107394393294E-2</c:v>
                      </c:pt>
                      <c:pt idx="81" formatCode="0.0">
                        <c:v>1.9163107394393294E-2</c:v>
                      </c:pt>
                      <c:pt idx="82" formatCode="0.0">
                        <c:v>1.9163107394393294E-2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CD4F-4518-BB7D-95218171C7F6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Nitrous 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WAM!$E$7</c:f>
              <c:strCache>
                <c:ptCount val="1"/>
                <c:pt idx="0">
                  <c:v>N2O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6B75272-FDC1-46C5-A408-A4A8032E281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8C7-4626-837F-9AE126034CA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C7-4626-837F-9AE126034CA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C7-4626-837F-9AE126034CA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C7-4626-837F-9AE126034CA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C7-4626-837F-9AE126034CA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C7-4626-837F-9AE126034CA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C7-4626-837F-9AE126034CA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C7-4626-837F-9AE126034CA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C7-4626-837F-9AE126034CA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C7-4626-837F-9AE126034CA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C7-4626-837F-9AE126034CA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C7-4626-837F-9AE126034CA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D1411B0-050B-45BD-AC53-F27773A6D8B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8C7-4626-837F-9AE126034CA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7D36B1A-19E6-4FAD-8AD3-7BA437ECC23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8C7-4626-837F-9AE126034CA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46612BA-B085-4268-A17A-668E7BC45D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8C7-4626-837F-9AE126034CA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81A71F6-18A0-48B0-8784-5CEA4EB58A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8C7-4626-837F-9AE126034CA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CAF662B-6E88-4878-9342-14330DFF00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8C7-4626-837F-9AE126034CA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613E779-FEDB-4812-81F5-DF19EDDBD6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8C7-4626-837F-9AE126034CA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14B571F-06AF-400C-A1D6-7DE85D4CB6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8C7-4626-837F-9AE126034CA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C1F1EF4-3323-436E-AEB7-547F0C4B9B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8C7-4626-837F-9AE126034CA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C887972-7548-4A8D-9EE2-D2F5E0C5A1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8C7-4626-837F-9AE126034CA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EEA4A6A-D8FC-4185-9799-0412EC0262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8C7-4626-837F-9AE126034CA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719DAA8-7B97-4C05-BD87-41F8C6A3E09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8C7-4626-837F-9AE126034CA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A106503-783B-489D-9E1D-DD6A36C439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8C7-4626-837F-9AE126034CA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DDDFAE2-971F-48E3-9D89-A380ACF28D7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8C7-4626-837F-9AE126034CA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365F53F-5900-4B2D-8037-3DEB8038FD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8C7-4626-837F-9AE126034CA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00EA990-0176-4A34-9B3D-8F68B71B6D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8C7-4626-837F-9AE126034CA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9992014-4BEE-4D41-93CD-65AFC881C7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8C7-4626-837F-9AE126034CA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33C1BC6-789D-480F-9B7C-F3360C04564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8C7-4626-837F-9AE126034CA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EF87806-A42A-4D5E-8CA9-10764FB3578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8C7-4626-837F-9AE126034CA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AEB5B9A-A874-4D49-AE63-80803EFCE7C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8C7-4626-837F-9AE126034CA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7F41CA2-6350-479B-8E6E-41C0E404E4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8C7-4626-837F-9AE126034CA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CEDC224-A009-4E8E-952E-93BE14B09A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8C7-4626-837F-9AE126034CAD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CB34E70-3797-4067-9702-DBA771D3CD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8C7-4626-837F-9AE126034CAD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C9A664AE-4346-4B54-AB94-67DEB092340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8C7-4626-837F-9AE126034CA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C75AD4B-C139-4DBF-9676-FB01674D16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8C7-4626-837F-9AE126034CAD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76030B0F-7FFA-4CCC-AE14-38B6A7A41A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8C7-4626-837F-9AE126034CA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2AFB757F-050F-4C72-847C-4648DE8476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8C7-4626-837F-9AE126034CAD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6ECB798-6E4A-4D00-B780-AA292F01C4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8C7-4626-837F-9AE126034CAD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D674C59-6EA3-41EF-94F6-B5C961EC18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8C7-4626-837F-9AE126034CAD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E9EFF283-9A70-49B7-BF47-A3D9DB14FF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8C7-4626-837F-9AE126034CAD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2911A56-A044-49B1-BC8C-7504491E475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8C7-4626-837F-9AE126034CAD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E8722201-3263-4B71-9F32-7EFB7AB2D1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8C7-4626-837F-9AE126034CAD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6D71161-C065-45FC-BA2E-946AC274615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8C7-4626-837F-9AE126034CAD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6729D279-0501-46AE-BB7A-1880119FA2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8C7-4626-837F-9AE126034CAD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FB1A3247-A156-496F-9BC4-A96F6E7805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8C7-4626-837F-9AE126034CAD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487BF4C7-D93A-4002-AA41-EF03E054E2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F8C7-4626-837F-9AE126034CAD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C570B900-6B18-4BD8-AD04-E8031A6F74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F8C7-4626-837F-9AE126034CAD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D30FE91B-FA6B-495C-879B-05A5FD3F5A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F8C7-4626-837F-9AE126034CAD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B9749BB-D8F0-49B6-88EB-8954365B7E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F8C7-4626-837F-9AE126034CAD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713A31E-0234-41D1-84E0-056ABBFCB2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F8C7-4626-837F-9AE126034CAD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D98AF969-BAC6-4B1A-AE03-4F6B29AFCE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F8C7-4626-837F-9AE126034CAD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B6E8D055-3B78-4F64-8AF8-1B9F4CC4D1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F8C7-4626-837F-9AE126034CAD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F2D80269-BC67-48A5-9E69-98F829A621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F8C7-4626-837F-9AE126034CAD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FD90F64F-FAD5-4DC8-98D1-8873F012BE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F8C7-4626-837F-9AE126034CAD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C3787E55-F59D-41E6-B4CB-68AF1C7A91E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F8C7-4626-837F-9AE126034CAD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4039A7A2-9EBC-4789-B898-864DCDEF52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F8C7-4626-837F-9AE126034CAD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ACAAFA46-0B76-4775-ABFE-9FCB94FDA38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F8C7-4626-837F-9AE126034CAD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66C00DDB-5BAC-4ADC-A4C4-BF6662DB75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F8C7-4626-837F-9AE126034CAD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C16EC95A-C871-4479-A50E-930A62A486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F8C7-4626-837F-9AE126034CAD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49F47B4B-5D2A-4616-A7FC-093A0F59F3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F8C7-4626-837F-9AE126034CAD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11451ED8-D09D-4AEF-99A5-6A85592B7B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F8C7-4626-837F-9AE126034CAD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94C40BB5-56E7-42DE-9C0C-1A1B4AE20F0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F8C7-4626-837F-9AE126034CAD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06BCA143-D4A5-41DD-9D84-DF7B43B2D7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F8C7-4626-837F-9AE126034CAD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678914B-36CF-4A4F-8B1A-C51FB09DE74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F8C7-4626-837F-9AE126034CAD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961E0D09-DED4-4965-A50F-36DAF5245FC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F8C7-4626-837F-9AE126034CAD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DD67A436-9391-4976-897F-DDED1BC8F6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F8C7-4626-837F-9AE126034CAD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9CCC66ED-CBBB-4BAD-9360-3BCE9619D64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F8C7-4626-837F-9AE126034CAD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E353B54E-7136-4356-90BF-1FE5E68B15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F8C7-4626-837F-9AE126034CAD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399DA6B5-7A71-4EF9-A92F-3343E1EDC1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F8C7-4626-837F-9AE126034CAD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7F564F09-2083-4BB7-BA01-50423CDFAF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F8C7-4626-837F-9AE126034CAD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235DC67C-D68F-46DD-A79E-3465575BBB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F8C7-4626-837F-9AE126034CAD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1A9F4E97-BEDD-4CB5-995D-CDB5FB155A7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F8C7-4626-837F-9AE126034CAD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A715F2F9-998E-4B64-A822-13C4397D91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F8C7-4626-837F-9AE126034CAD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4A40005A-0BDC-4D71-AAE8-1073A638F15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F8C7-4626-837F-9AE126034CAD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72618E42-7387-4125-A08B-1C22DFF592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F8C7-4626-837F-9AE126034CAD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78CA6521-7851-44CF-8170-A20076761A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F8C7-4626-837F-9AE126034CAD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885CFAD9-889F-4C8F-8922-D8A283A3E0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F8C7-4626-837F-9AE126034CAD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F7E793F1-98DC-461E-A7E9-57D4793F99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F8C7-4626-837F-9AE126034CAD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C8D32A22-2F13-461B-914B-380792F3C9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F8C7-4626-837F-9AE126034CAD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389D7509-D2F0-4609-8E9D-DA7FA375769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F8C7-4626-837F-9AE126034CAD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C7424770-C9FD-4560-A917-95FB0E2409C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F8C7-4626-837F-9AE126034CAD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884E251B-1626-4AFD-8379-EF1072CEA1E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F8C7-4626-837F-9AE126034C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WAM!$B$8:$B$90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WAM!$E$8:$E$90</c:f>
              <c:numCache>
                <c:formatCode>0.00</c:formatCode>
                <c:ptCount val="83"/>
                <c:pt idx="12">
                  <c:v>2.6227661646226468E-2</c:v>
                </c:pt>
                <c:pt idx="13">
                  <c:v>2.554114757699584E-2</c:v>
                </c:pt>
                <c:pt idx="14">
                  <c:v>2.5204417941327273E-2</c:v>
                </c:pt>
                <c:pt idx="15">
                  <c:v>2.5697521605793531E-2</c:v>
                </c:pt>
                <c:pt idx="16">
                  <c:v>2.6660195601452181E-2</c:v>
                </c:pt>
                <c:pt idx="17">
                  <c:v>2.7848538989904151E-2</c:v>
                </c:pt>
                <c:pt idx="18">
                  <c:v>2.8242940550096497E-2</c:v>
                </c:pt>
                <c:pt idx="19">
                  <c:v>2.7991006485181408E-2</c:v>
                </c:pt>
                <c:pt idx="20">
                  <c:v>2.9429943506676829E-2</c:v>
                </c:pt>
                <c:pt idx="21">
                  <c:v>2.8645206014373741E-2</c:v>
                </c:pt>
                <c:pt idx="22">
                  <c:v>2.7713149439546961E-2</c:v>
                </c:pt>
                <c:pt idx="23">
                  <c:v>2.6361520111669961E-2</c:v>
                </c:pt>
                <c:pt idx="24">
                  <c:v>2.5205268301960501E-2</c:v>
                </c:pt>
                <c:pt idx="25">
                  <c:v>2.5051707160096713E-2</c:v>
                </c:pt>
                <c:pt idx="26">
                  <c:v>2.4462801837163501E-2</c:v>
                </c:pt>
                <c:pt idx="27">
                  <c:v>2.4090144176706841E-2</c:v>
                </c:pt>
                <c:pt idx="28">
                  <c:v>2.3416369558615369E-2</c:v>
                </c:pt>
                <c:pt idx="29">
                  <c:v>2.2587866931128592E-2</c:v>
                </c:pt>
                <c:pt idx="30">
                  <c:v>2.252824456889773E-2</c:v>
                </c:pt>
                <c:pt idx="31">
                  <c:v>2.1984221435495593E-2</c:v>
                </c:pt>
                <c:pt idx="32">
                  <c:v>2.3205006831574712E-2</c:v>
                </c:pt>
                <c:pt idx="33">
                  <c:v>2.1596923732384501E-2</c:v>
                </c:pt>
                <c:pt idx="34">
                  <c:v>2.2350835962576289E-2</c:v>
                </c:pt>
                <c:pt idx="35">
                  <c:v>2.3861676615019551E-2</c:v>
                </c:pt>
                <c:pt idx="36">
                  <c:v>2.3087068532383508E-2</c:v>
                </c:pt>
                <c:pt idx="37">
                  <c:v>2.3139800195035771E-2</c:v>
                </c:pt>
                <c:pt idx="38">
                  <c:v>2.3402918953505311E-2</c:v>
                </c:pt>
                <c:pt idx="39">
                  <c:v>2.4736923302581051E-2</c:v>
                </c:pt>
                <c:pt idx="40" formatCode="0.0">
                  <c:v>2.5702323908143719E-2</c:v>
                </c:pt>
                <c:pt idx="41">
                  <c:v>2.3004457248979732E-2</c:v>
                </c:pt>
                <c:pt idx="42">
                  <c:v>2.2983973024124787E-2</c:v>
                </c:pt>
                <c:pt idx="43">
                  <c:v>2.2585600488491758E-2</c:v>
                </c:pt>
                <c:pt idx="44">
                  <c:v>2.2263098238083701E-2</c:v>
                </c:pt>
                <c:pt idx="45">
                  <c:v>2.1964318484345276E-2</c:v>
                </c:pt>
                <c:pt idx="46">
                  <c:v>2.1549354148568324E-2</c:v>
                </c:pt>
                <c:pt idx="47">
                  <c:v>2.11495104961863E-2</c:v>
                </c:pt>
                <c:pt idx="48">
                  <c:v>2.0657539633650593E-2</c:v>
                </c:pt>
                <c:pt idx="49">
                  <c:v>2.0278428563695598E-2</c:v>
                </c:pt>
                <c:pt idx="50">
                  <c:v>1.9840267160055495E-2</c:v>
                </c:pt>
                <c:pt idx="51">
                  <c:v>1.9429517461533281E-2</c:v>
                </c:pt>
                <c:pt idx="52">
                  <c:v>1.9050040558681376E-2</c:v>
                </c:pt>
                <c:pt idx="53">
                  <c:v>1.9080954359167127E-2</c:v>
                </c:pt>
                <c:pt idx="54">
                  <c:v>1.9057902924445574E-2</c:v>
                </c:pt>
                <c:pt idx="55">
                  <c:v>1.9063571295598422E-2</c:v>
                </c:pt>
                <c:pt idx="56">
                  <c:v>1.9089487734951706E-2</c:v>
                </c:pt>
                <c:pt idx="57">
                  <c:v>1.913849913108135E-2</c:v>
                </c:pt>
                <c:pt idx="58">
                  <c:v>1.9124297380356606E-2</c:v>
                </c:pt>
                <c:pt idx="59">
                  <c:v>1.9141829848980128E-2</c:v>
                </c:pt>
                <c:pt idx="60">
                  <c:v>1.9174190364964139E-2</c:v>
                </c:pt>
                <c:pt idx="61">
                  <c:v>1.9153993935809816E-2</c:v>
                </c:pt>
                <c:pt idx="62">
                  <c:v>1.9163107394393294E-2</c:v>
                </c:pt>
                <c:pt idx="63">
                  <c:v>1.9163107394393294E-2</c:v>
                </c:pt>
                <c:pt idx="64">
                  <c:v>1.9163107394393294E-2</c:v>
                </c:pt>
                <c:pt idx="65">
                  <c:v>1.9163107394393294E-2</c:v>
                </c:pt>
                <c:pt idx="66">
                  <c:v>1.9163107394393294E-2</c:v>
                </c:pt>
                <c:pt idx="67">
                  <c:v>1.9163107394393294E-2</c:v>
                </c:pt>
                <c:pt idx="68">
                  <c:v>1.9163107394393294E-2</c:v>
                </c:pt>
                <c:pt idx="69">
                  <c:v>1.9163107394393294E-2</c:v>
                </c:pt>
                <c:pt idx="70">
                  <c:v>1.9163107394393294E-2</c:v>
                </c:pt>
                <c:pt idx="71">
                  <c:v>1.9163107394393294E-2</c:v>
                </c:pt>
                <c:pt idx="72">
                  <c:v>1.9163107394393294E-2</c:v>
                </c:pt>
                <c:pt idx="73" formatCode="0.0">
                  <c:v>1.9163107394393294E-2</c:v>
                </c:pt>
                <c:pt idx="74" formatCode="0.0">
                  <c:v>1.9163107394393294E-2</c:v>
                </c:pt>
                <c:pt idx="75" formatCode="0.0">
                  <c:v>1.9163107394393294E-2</c:v>
                </c:pt>
                <c:pt idx="76" formatCode="0.0">
                  <c:v>1.9163107394393294E-2</c:v>
                </c:pt>
                <c:pt idx="77" formatCode="0.0">
                  <c:v>1.9163107394393294E-2</c:v>
                </c:pt>
                <c:pt idx="78" formatCode="0.0">
                  <c:v>1.9163107394393294E-2</c:v>
                </c:pt>
                <c:pt idx="79" formatCode="0.0">
                  <c:v>1.9163107394393294E-2</c:v>
                </c:pt>
                <c:pt idx="80" formatCode="0.0">
                  <c:v>1.9163107394393294E-2</c:v>
                </c:pt>
                <c:pt idx="81" formatCode="0.0">
                  <c:v>1.9163107394393294E-2</c:v>
                </c:pt>
                <c:pt idx="82" formatCode="0.0">
                  <c:v>1.9163107394393294E-2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WAM!$R$8:$R$130</c15:f>
                <c15:dlblRangeCache>
                  <c:ptCount val="123"/>
                  <c:pt idx="42">
                    <c:v>11%</c:v>
                  </c:pt>
                  <c:pt idx="47">
                    <c:v>18%</c:v>
                  </c:pt>
                  <c:pt idx="52">
                    <c:v>26%</c:v>
                  </c:pt>
                  <c:pt idx="62">
                    <c:v>25%</c:v>
                  </c:pt>
                  <c:pt idx="72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F8C7-4626-837F-9AE12603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WAM!$C$7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WAM!$B$8:$B$90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WAM!$C$8:$C$90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42.551403836920038</c:v>
                      </c:pt>
                      <c:pt idx="42" formatCode="0.00">
                        <c:v>39.6997120657254</c:v>
                      </c:pt>
                      <c:pt idx="43" formatCode="0.00">
                        <c:v>41.967334731719113</c:v>
                      </c:pt>
                      <c:pt idx="44" formatCode="0.00">
                        <c:v>42.730746179162182</c:v>
                      </c:pt>
                      <c:pt idx="45" formatCode="0.00">
                        <c:v>44.16374861720292</c:v>
                      </c:pt>
                      <c:pt idx="46" formatCode="0.00">
                        <c:v>42.029979630872887</c:v>
                      </c:pt>
                      <c:pt idx="47" formatCode="0.00">
                        <c:v>41.007666260575206</c:v>
                      </c:pt>
                      <c:pt idx="48" formatCode="0.00">
                        <c:v>37.937121340515439</c:v>
                      </c:pt>
                      <c:pt idx="49" formatCode="0.00">
                        <c:v>37.870878645431397</c:v>
                      </c:pt>
                      <c:pt idx="50" formatCode="0.00">
                        <c:v>36.583778559859176</c:v>
                      </c:pt>
                      <c:pt idx="51" formatCode="0.00">
                        <c:v>36.158157819520802</c:v>
                      </c:pt>
                      <c:pt idx="52" formatCode="0.00">
                        <c:v>36.407173574748441</c:v>
                      </c:pt>
                      <c:pt idx="53" formatCode="0.00">
                        <c:v>37.132582139754682</c:v>
                      </c:pt>
                      <c:pt idx="54" formatCode="0.00">
                        <c:v>37.393101437334174</c:v>
                      </c:pt>
                      <c:pt idx="55" formatCode="0.00">
                        <c:v>37.364200054290251</c:v>
                      </c:pt>
                      <c:pt idx="56" formatCode="0.00">
                        <c:v>38.724742914179345</c:v>
                      </c:pt>
                      <c:pt idx="57" formatCode="0.00">
                        <c:v>39.112067062213704</c:v>
                      </c:pt>
                      <c:pt idx="58" formatCode="0.00">
                        <c:v>39.502816314188848</c:v>
                      </c:pt>
                      <c:pt idx="59" formatCode="0.00">
                        <c:v>39.950200570806409</c:v>
                      </c:pt>
                      <c:pt idx="60" formatCode="0.00">
                        <c:v>39.925010131859032</c:v>
                      </c:pt>
                      <c:pt idx="61" formatCode="0.00">
                        <c:v>39.75863072429123</c:v>
                      </c:pt>
                      <c:pt idx="62" formatCode="0.00">
                        <c:v>40.175462122721363</c:v>
                      </c:pt>
                      <c:pt idx="63" formatCode="0.00">
                        <c:v>36.157915910449226</c:v>
                      </c:pt>
                      <c:pt idx="64" formatCode="0.00">
                        <c:v>32.140369698177089</c:v>
                      </c:pt>
                      <c:pt idx="65" formatCode="0.00">
                        <c:v>28.122823485904956</c:v>
                      </c:pt>
                      <c:pt idx="66" formatCode="0.00">
                        <c:v>24.105277273632819</c:v>
                      </c:pt>
                      <c:pt idx="67" formatCode="0.00">
                        <c:v>20.087731061360682</c:v>
                      </c:pt>
                      <c:pt idx="68" formatCode="0.00">
                        <c:v>16.070184849088545</c:v>
                      </c:pt>
                      <c:pt idx="69" formatCode="0.00">
                        <c:v>12.052638636816411</c:v>
                      </c:pt>
                      <c:pt idx="70" formatCode="0.00">
                        <c:v>8.0350924245442741</c:v>
                      </c:pt>
                      <c:pt idx="71" formatCode="0.00">
                        <c:v>4.0175462122721388</c:v>
                      </c:pt>
                      <c:pt idx="72" formatCode="0.00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F8C7-4626-837F-9AE126034CAD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WAM!$D$8:$D$90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0.62398515281643696</c:v>
                      </c:pt>
                      <c:pt idx="41">
                        <c:v>0.58922091624152584</c:v>
                      </c:pt>
                      <c:pt idx="42">
                        <c:v>0.59473031271743648</c:v>
                      </c:pt>
                      <c:pt idx="43">
                        <c:v>0.58383889273555045</c:v>
                      </c:pt>
                      <c:pt idx="44">
                        <c:v>0.57804438643499789</c:v>
                      </c:pt>
                      <c:pt idx="45">
                        <c:v>0.57460283572353643</c:v>
                      </c:pt>
                      <c:pt idx="46">
                        <c:v>0.56856205420313466</c:v>
                      </c:pt>
                      <c:pt idx="47">
                        <c:v>0.56052726293969291</c:v>
                      </c:pt>
                      <c:pt idx="48">
                        <c:v>0.55036766728215014</c:v>
                      </c:pt>
                      <c:pt idx="49">
                        <c:v>0.54064817881673566</c:v>
                      </c:pt>
                      <c:pt idx="50">
                        <c:v>0.52961966802894</c:v>
                      </c:pt>
                      <c:pt idx="51">
                        <c:v>0.51835836578488603</c:v>
                      </c:pt>
                      <c:pt idx="52">
                        <c:v>0.50714823688842259</c:v>
                      </c:pt>
                      <c:pt idx="53">
                        <c:v>0.50844005447261675</c:v>
                      </c:pt>
                      <c:pt idx="54">
                        <c:v>0.5096238310852369</c:v>
                      </c:pt>
                      <c:pt idx="55">
                        <c:v>0.51094099386105918</c:v>
                      </c:pt>
                      <c:pt idx="56">
                        <c:v>0.51236918056843839</c:v>
                      </c:pt>
                      <c:pt idx="57">
                        <c:v>0.51388704784276373</c:v>
                      </c:pt>
                      <c:pt idx="58">
                        <c:v>0.51484044882840418</c:v>
                      </c:pt>
                      <c:pt idx="59">
                        <c:v>0.51598174847674161</c:v>
                      </c:pt>
                      <c:pt idx="60">
                        <c:v>0.51720791300392288</c:v>
                      </c:pt>
                      <c:pt idx="61">
                        <c:v>0.51831832116019383</c:v>
                      </c:pt>
                      <c:pt idx="62">
                        <c:v>0.5195613861832552</c:v>
                      </c:pt>
                      <c:pt idx="63">
                        <c:v>0.5195613861832552</c:v>
                      </c:pt>
                      <c:pt idx="64">
                        <c:v>0.5195613861832552</c:v>
                      </c:pt>
                      <c:pt idx="65">
                        <c:v>0.5195613861832552</c:v>
                      </c:pt>
                      <c:pt idx="66">
                        <c:v>0.5195613861832552</c:v>
                      </c:pt>
                      <c:pt idx="67">
                        <c:v>0.5195613861832552</c:v>
                      </c:pt>
                      <c:pt idx="68">
                        <c:v>0.5195613861832552</c:v>
                      </c:pt>
                      <c:pt idx="69">
                        <c:v>0.5195613861832552</c:v>
                      </c:pt>
                      <c:pt idx="70">
                        <c:v>0.5195613861832552</c:v>
                      </c:pt>
                      <c:pt idx="71">
                        <c:v>0.5195613861832552</c:v>
                      </c:pt>
                      <c:pt idx="72">
                        <c:v>0.5195613861832552</c:v>
                      </c:pt>
                      <c:pt idx="73">
                        <c:v>0.5195613861832552</c:v>
                      </c:pt>
                      <c:pt idx="74">
                        <c:v>0.5195613861832552</c:v>
                      </c:pt>
                      <c:pt idx="75">
                        <c:v>0.5195613861832552</c:v>
                      </c:pt>
                      <c:pt idx="76">
                        <c:v>0.5195613861832552</c:v>
                      </c:pt>
                      <c:pt idx="77">
                        <c:v>0.5195613861832552</c:v>
                      </c:pt>
                      <c:pt idx="78">
                        <c:v>0.5195613861832552</c:v>
                      </c:pt>
                      <c:pt idx="79">
                        <c:v>0.5195613861832552</c:v>
                      </c:pt>
                      <c:pt idx="80">
                        <c:v>0.5195613861832552</c:v>
                      </c:pt>
                      <c:pt idx="81">
                        <c:v>0.5195613861832552</c:v>
                      </c:pt>
                      <c:pt idx="82">
                        <c:v>0.5195613861832552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F8C7-4626-837F-9AE126034CAD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Carbon Dioxide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'Scenario 51-51%'!$C$7</c:f>
              <c:strCache>
                <c:ptCount val="1"/>
                <c:pt idx="0">
                  <c:v>CO2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6-4AA1-9E73-73CC036F44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6-4AA1-9E73-73CC036F44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6-4AA1-9E73-73CC036F44C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6-4AA1-9E73-73CC036F44C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B6-4AA1-9E73-73CC036F44C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B6-4AA1-9E73-73CC036F44C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B6-4AA1-9E73-73CC036F44C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6-4AA1-9E73-73CC036F44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B6-4AA1-9E73-73CC036F44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6-4AA1-9E73-73CC036F44C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B6-4AA1-9E73-73CC036F44C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B6-4AA1-9E73-73CC036F44C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B14A8C0-A73C-4DF4-9718-E04E38914B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B6-4AA1-9E73-73CC036F44C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549C1D4-C958-46EA-BF0D-BB8619A337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7B6-4AA1-9E73-73CC036F44C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A22C60F-5E5F-4401-93F9-C3DB137A0C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7B6-4AA1-9E73-73CC036F44C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5A096E3-AFA7-4C98-ACAE-4C53B812A5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7B6-4AA1-9E73-73CC036F44C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15B6776-A50A-45F8-AE62-D7DB532AA7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7B6-4AA1-9E73-73CC036F44C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16F5EE7-E69C-463A-AD94-BDAE1841B3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7B6-4AA1-9E73-73CC036F44C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C8F2D2A-4A05-414A-9CF7-C829DEE1FBF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7B6-4AA1-9E73-73CC036F44C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B3C88EA-BEAF-48C8-AA24-C3C06A4F15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7B6-4AA1-9E73-73CC036F44C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8A84123-A61C-46E9-95C5-74F1A8C3FE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7B6-4AA1-9E73-73CC036F44C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7C9736A-39D5-46D5-8617-31AE277562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7B6-4AA1-9E73-73CC036F44C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A9622DC-DF0D-4DE8-87F3-6E234179801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7B6-4AA1-9E73-73CC036F44C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0D79795-25B5-4A69-B5E4-D7E8680958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7B6-4AA1-9E73-73CC036F44C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EBAA8D7-90A7-4175-95A4-B928F50E05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7B6-4AA1-9E73-73CC036F44C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6C91433-C454-4C83-9EFB-DA252B89CFD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7B6-4AA1-9E73-73CC036F44C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41D5C30-0062-4C1A-BF9F-36D26C68B3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7B6-4AA1-9E73-73CC036F44C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76BBE3E-D476-4395-B89F-B7BC5173E7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7B6-4AA1-9E73-73CC036F44C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F521ECD-ED5E-49C3-9EE7-90481004387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7B6-4AA1-9E73-73CC036F44C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D5151F5-DFC0-4591-BCA9-B66DE2167D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7B6-4AA1-9E73-73CC036F44C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9471C9B-A35D-4867-AD88-8BFA09A944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7B6-4AA1-9E73-73CC036F44C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6EECEF26-E1BD-4C97-B161-B5C1B28CCA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7B6-4AA1-9E73-73CC036F44C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D05C249-E25C-4BC6-9BFA-187BDCD8F3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7B6-4AA1-9E73-73CC036F44C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94E6DEF9-9952-48F0-9234-16405B9E29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7B6-4AA1-9E73-73CC036F44C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EE1CC62-7866-4415-AF94-34577020AF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7B6-4AA1-9E73-73CC036F44C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64C39A3-F1C4-4195-B41D-6C3552B8E0E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7B6-4AA1-9E73-73CC036F44C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DBFF775-9C6C-48A2-90F5-AA1EF0B90F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7B6-4AA1-9E73-73CC036F44C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A527938-B287-457D-A5FC-D7284CCAA7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B7B6-4AA1-9E73-73CC036F44C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E26B4B00-9C46-4B42-B8F5-994910E8532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7B6-4AA1-9E73-73CC036F44C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74A08391-ECE5-491D-9126-1F10743594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7B6-4AA1-9E73-73CC036F44C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62052FE-9B53-4674-8669-C160E384360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B7B6-4AA1-9E73-73CC036F44C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CF84598-C7B2-4643-BD09-4AE730699D1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7B6-4AA1-9E73-73CC036F44C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B92EEF0-168F-4A7E-9667-19286B79F7E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B7B6-4AA1-9E73-73CC036F44C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781CBC69-606B-4AA1-BDDF-17762109AB5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B7B6-4AA1-9E73-73CC036F44C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F1D0BCD-1618-4D1B-BB93-9299FBE9D49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B7B6-4AA1-9E73-73CC036F44C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C454BC18-7732-424A-91F0-53163D3A08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B7B6-4AA1-9E73-73CC036F44C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C06627C-9D13-4F23-9AA4-2C08573821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B7B6-4AA1-9E73-73CC036F44C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F7009FE9-55F9-42BE-A6D3-9331E4896C3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B7B6-4AA1-9E73-73CC036F44C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CD9D01B-E8E4-4961-ADDA-6DBAA8CA89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B7B6-4AA1-9E73-73CC036F44C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3A4A70A-8B6B-4368-9E0D-89D187C4EB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B7B6-4AA1-9E73-73CC036F44C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7E6CB73-2B86-49EE-92E0-9841690D8C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B7B6-4AA1-9E73-73CC036F44C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3AE8FDE-91E4-48AA-A148-3EC2DF1D27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B7B6-4AA1-9E73-73CC036F44C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4E25FD5-11A7-4AA0-A14F-F13EB12ABA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B7B6-4AA1-9E73-73CC036F44C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7BDCE84D-0CB8-429A-86BD-E892730186B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B7B6-4AA1-9E73-73CC036F44C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D7DA16BA-5F65-45C9-9C8A-F19DD84853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B7B6-4AA1-9E73-73CC036F44C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21EFB19F-DB19-4735-A365-3FE4E753A23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B7B6-4AA1-9E73-73CC036F44C0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0C0382E4-53EA-4D01-A897-E98DACBB31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B7B6-4AA1-9E73-73CC036F44C0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1068A4B8-50B9-4BDD-83B7-0D47D456653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B7B6-4AA1-9E73-73CC036F44C0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6034FD52-1700-4F33-A793-8631F62557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B7B6-4AA1-9E73-73CC036F44C0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BF324598-FC59-4C04-8E90-7AEE024779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B7B6-4AA1-9E73-73CC036F44C0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14BAC77E-4A38-4E26-9E75-FB958567515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B7B6-4AA1-9E73-73CC036F44C0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41362001-28A0-48E6-BD2B-C19BE4BAF3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B7B6-4AA1-9E73-73CC036F44C0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CB777E8E-0D69-466A-B25F-F9ED2D29FE5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B7B6-4AA1-9E73-73CC036F44C0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FC2C494F-67F5-4A31-B874-EDA3763A021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B7B6-4AA1-9E73-73CC036F44C0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A7D21FA-74EE-44F3-91BE-8188ACFEF9E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B7B6-4AA1-9E73-73CC036F44C0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3F4C3B42-3AE4-47D2-8604-369514CFC3A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B7B6-4AA1-9E73-73CC036F44C0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471F5C3-82B9-41D0-A038-EFD57B9F0A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B7B6-4AA1-9E73-73CC036F44C0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7AAC21DC-A339-4F66-9DF1-B25E6FF99D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B7B6-4AA1-9E73-73CC036F44C0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2B6CA266-169C-42C5-922C-E00B4782EBB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B7B6-4AA1-9E73-73CC036F44C0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DD19F1FB-53A2-4112-8EE3-450A9D74E0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B7B6-4AA1-9E73-73CC036F44C0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8743C44A-E538-4F5B-B0D6-662674691F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B7B6-4AA1-9E73-73CC036F44C0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AF58FA16-595B-40B1-BA53-035990CF69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B7B6-4AA1-9E73-73CC036F44C0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F0A79100-7BB2-42AB-9E44-24E6DFBF25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B7B6-4AA1-9E73-73CC036F44C0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C6D046F7-877B-4251-93BA-539DD07EAF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B7B6-4AA1-9E73-73CC036F44C0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6CD8151C-B372-486B-A9FA-63231D46724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B7B6-4AA1-9E73-73CC036F44C0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1CC7DCC1-CDF6-45E0-815E-EE24352DC23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B7B6-4AA1-9E73-73CC036F44C0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193938C9-A644-4604-AC49-1A4F44226F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B7B6-4AA1-9E73-73CC036F44C0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8788C3C5-E3DA-4D95-9838-CA61E430CD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B7B6-4AA1-9E73-73CC036F44C0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036C12E2-C53E-4261-83B0-92B12D6C01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B7B6-4AA1-9E73-73CC036F44C0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5D51C4B8-7F59-43C7-80F2-66DFD584A1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B7B6-4AA1-9E73-73CC036F44C0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38AAFB30-3966-428E-86A5-BCF4522121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B7B6-4AA1-9E73-73CC036F44C0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043DE98A-A6CE-4EE6-82CE-C8ACE1484C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B7B6-4AA1-9E73-73CC036F44C0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D48672C0-DC88-4C51-B413-B17A1425B4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B7B6-4AA1-9E73-73CC036F44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'Scenario 51-51%'!$B$8:$B$90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51-51%'!$C$8:$C$90</c:f>
              <c:numCache>
                <c:formatCode>0.0</c:formatCode>
                <c:ptCount val="8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 formatCode="0.00">
                  <c:v>42.847003375390081</c:v>
                </c:pt>
                <c:pt idx="42" formatCode="0.00">
                  <c:v>37.397075829274357</c:v>
                </c:pt>
                <c:pt idx="43" formatCode="0.00">
                  <c:v>39.448958900266781</c:v>
                </c:pt>
                <c:pt idx="44" formatCode="0.00">
                  <c:v>39.802372696624296</c:v>
                </c:pt>
                <c:pt idx="45" formatCode="0.00">
                  <c:v>40.485152302519481</c:v>
                </c:pt>
                <c:pt idx="46" formatCode="0.00">
                  <c:v>36.482080662790658</c:v>
                </c:pt>
                <c:pt idx="47" formatCode="0.00">
                  <c:v>33.659201203648905</c:v>
                </c:pt>
                <c:pt idx="48" formatCode="0.00">
                  <c:v>30.1106827916946</c:v>
                </c:pt>
                <c:pt idx="49" formatCode="0.00">
                  <c:v>27.785173761385483</c:v>
                </c:pt>
                <c:pt idx="50" formatCode="0.00">
                  <c:v>25.304090159342181</c:v>
                </c:pt>
                <c:pt idx="51" formatCode="0.00">
                  <c:v>23.167906115897903</c:v>
                </c:pt>
                <c:pt idx="52" formatCode="0.00">
                  <c:v>21.599015142380825</c:v>
                </c:pt>
                <c:pt idx="53">
                  <c:v>20.519064385261782</c:v>
                </c:pt>
                <c:pt idx="54">
                  <c:v>19.439113628142817</c:v>
                </c:pt>
                <c:pt idx="55">
                  <c:v>18.35916287102372</c:v>
                </c:pt>
                <c:pt idx="56">
                  <c:v>17.279212113904677</c:v>
                </c:pt>
                <c:pt idx="57">
                  <c:v>16.199261356785652</c:v>
                </c:pt>
                <c:pt idx="58">
                  <c:v>15.119310599666598</c:v>
                </c:pt>
                <c:pt idx="59">
                  <c:v>14.039359842547555</c:v>
                </c:pt>
                <c:pt idx="60">
                  <c:v>12.959409085428508</c:v>
                </c:pt>
                <c:pt idx="61">
                  <c:v>11.879458328309468</c:v>
                </c:pt>
                <c:pt idx="62">
                  <c:v>10.799507571190423</c:v>
                </c:pt>
                <c:pt idx="63">
                  <c:v>9.7195568140713746</c:v>
                </c:pt>
                <c:pt idx="64">
                  <c:v>8.6396060569523314</c:v>
                </c:pt>
                <c:pt idx="65">
                  <c:v>7.5596552998332918</c:v>
                </c:pt>
                <c:pt idx="66">
                  <c:v>6.4797045427142566</c:v>
                </c:pt>
                <c:pt idx="67">
                  <c:v>5.399753785595208</c:v>
                </c:pt>
                <c:pt idx="68">
                  <c:v>4.3198030284761781</c:v>
                </c:pt>
                <c:pt idx="69">
                  <c:v>3.2398522713571314</c:v>
                </c:pt>
                <c:pt idx="70">
                  <c:v>2.1599015142380749</c:v>
                </c:pt>
                <c:pt idx="71">
                  <c:v>1.0799507571190341</c:v>
                </c:pt>
                <c:pt idx="72">
                  <c:v>2.8804233201616342E-15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51-51%'!$P$17:$P$130</c15:f>
                <c15:dlblRangeCache>
                  <c:ptCount val="114"/>
                  <c:pt idx="33">
                    <c:v>15%</c:v>
                  </c:pt>
                  <c:pt idx="38">
                    <c:v>24%</c:v>
                  </c:pt>
                  <c:pt idx="43">
                    <c:v>51%</c:v>
                  </c:pt>
                  <c:pt idx="53">
                    <c:v>75%</c:v>
                  </c:pt>
                  <c:pt idx="63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B7B6-4AA1-9E73-73CC036F4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'Scenario 51-51%'!$D$7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51-51%'!$D$8:$D$90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0.57389755741139381</c:v>
                      </c:pt>
                      <c:pt idx="45">
                        <c:v>0.54676744452183101</c:v>
                      </c:pt>
                      <c:pt idx="46">
                        <c:v>0.50910422960466262</c:v>
                      </c:pt>
                      <c:pt idx="47">
                        <c:v>0.47579004258070851</c:v>
                      </c:pt>
                      <c:pt idx="48">
                        <c:v>0.43818460550961169</c:v>
                      </c:pt>
                      <c:pt idx="49">
                        <c:v>0.40528891083932894</c:v>
                      </c:pt>
                      <c:pt idx="50">
                        <c:v>0.37086628045414116</c:v>
                      </c:pt>
                      <c:pt idx="51">
                        <c:v>0.33726907327362254</c:v>
                      </c:pt>
                      <c:pt idx="52">
                        <c:v>0.30558169774738841</c:v>
                      </c:pt>
                      <c:pt idx="53">
                        <c:v>0.30558169774738841</c:v>
                      </c:pt>
                      <c:pt idx="54">
                        <c:v>0.30558169774738841</c:v>
                      </c:pt>
                      <c:pt idx="55">
                        <c:v>0.30558169774738841</c:v>
                      </c:pt>
                      <c:pt idx="56">
                        <c:v>0.30558169774738841</c:v>
                      </c:pt>
                      <c:pt idx="57">
                        <c:v>0.30558169774738841</c:v>
                      </c:pt>
                      <c:pt idx="58">
                        <c:v>0.30558169774738841</c:v>
                      </c:pt>
                      <c:pt idx="59">
                        <c:v>0.30558169774738841</c:v>
                      </c:pt>
                      <c:pt idx="60">
                        <c:v>0.30558169774738841</c:v>
                      </c:pt>
                      <c:pt idx="61">
                        <c:v>0.30558169774738841</c:v>
                      </c:pt>
                      <c:pt idx="62">
                        <c:v>0.30558169774738841</c:v>
                      </c:pt>
                      <c:pt idx="63">
                        <c:v>0.30558169774738841</c:v>
                      </c:pt>
                      <c:pt idx="64">
                        <c:v>0.30558169774738841</c:v>
                      </c:pt>
                      <c:pt idx="65">
                        <c:v>0.30558169774738841</c:v>
                      </c:pt>
                      <c:pt idx="66">
                        <c:v>0.30558169774738841</c:v>
                      </c:pt>
                      <c:pt idx="67">
                        <c:v>0.30558169774738841</c:v>
                      </c:pt>
                      <c:pt idx="68">
                        <c:v>0.30558169774738841</c:v>
                      </c:pt>
                      <c:pt idx="69">
                        <c:v>0.30558169774738841</c:v>
                      </c:pt>
                      <c:pt idx="70">
                        <c:v>0.30558169774738841</c:v>
                      </c:pt>
                      <c:pt idx="71">
                        <c:v>0.30558169774738841</c:v>
                      </c:pt>
                      <c:pt idx="72">
                        <c:v>0.30558169774738841</c:v>
                      </c:pt>
                      <c:pt idx="73">
                        <c:v>0.30558169774738841</c:v>
                      </c:pt>
                      <c:pt idx="74">
                        <c:v>0.30558169774738841</c:v>
                      </c:pt>
                      <c:pt idx="75">
                        <c:v>0.30558169774738841</c:v>
                      </c:pt>
                      <c:pt idx="76">
                        <c:v>0.30558169774738841</c:v>
                      </c:pt>
                      <c:pt idx="77">
                        <c:v>0.30558169774738841</c:v>
                      </c:pt>
                      <c:pt idx="78">
                        <c:v>0.30558169774738841</c:v>
                      </c:pt>
                      <c:pt idx="79">
                        <c:v>0.30558169774738841</c:v>
                      </c:pt>
                      <c:pt idx="80">
                        <c:v>0.30558169774738841</c:v>
                      </c:pt>
                      <c:pt idx="81">
                        <c:v>0.30558169774738841</c:v>
                      </c:pt>
                      <c:pt idx="82">
                        <c:v>0.30558169774738841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B7B6-4AA1-9E73-73CC036F44C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2.3015285089407308E-2</c:v>
                      </c:pt>
                      <c:pt idx="45">
                        <c:v>2.2172620594353928E-2</c:v>
                      </c:pt>
                      <c:pt idx="46">
                        <c:v>2.0568534136570747E-2</c:v>
                      </c:pt>
                      <c:pt idx="47">
                        <c:v>1.9278832306007465E-2</c:v>
                      </c:pt>
                      <c:pt idx="48">
                        <c:v>1.7678922521045151E-2</c:v>
                      </c:pt>
                      <c:pt idx="49">
                        <c:v>1.6419472867711775E-2</c:v>
                      </c:pt>
                      <c:pt idx="50">
                        <c:v>1.5049643348508104E-2</c:v>
                      </c:pt>
                      <c:pt idx="51">
                        <c:v>1.3739482420279323E-2</c:v>
                      </c:pt>
                      <c:pt idx="52">
                        <c:v>1.2567380324375299E-2</c:v>
                      </c:pt>
                      <c:pt idx="53" formatCode="0.0">
                        <c:v>1.2567380324375299E-2</c:v>
                      </c:pt>
                      <c:pt idx="54" formatCode="0.0">
                        <c:v>1.2567380324375299E-2</c:v>
                      </c:pt>
                      <c:pt idx="55" formatCode="0.0">
                        <c:v>1.2567380324375299E-2</c:v>
                      </c:pt>
                      <c:pt idx="56" formatCode="0.0">
                        <c:v>1.2567380324375299E-2</c:v>
                      </c:pt>
                      <c:pt idx="57" formatCode="0.0">
                        <c:v>1.2567380324375299E-2</c:v>
                      </c:pt>
                      <c:pt idx="58" formatCode="0.0">
                        <c:v>1.2567380324375299E-2</c:v>
                      </c:pt>
                      <c:pt idx="59" formatCode="0.0">
                        <c:v>1.2567380324375299E-2</c:v>
                      </c:pt>
                      <c:pt idx="60" formatCode="0.0">
                        <c:v>1.2567380324375299E-2</c:v>
                      </c:pt>
                      <c:pt idx="61" formatCode="0.0">
                        <c:v>1.2567380324375299E-2</c:v>
                      </c:pt>
                      <c:pt idx="62" formatCode="0.0">
                        <c:v>1.2567380324375299E-2</c:v>
                      </c:pt>
                      <c:pt idx="63" formatCode="0.0">
                        <c:v>1.2567380324375299E-2</c:v>
                      </c:pt>
                      <c:pt idx="64" formatCode="0.0">
                        <c:v>1.2567380324375299E-2</c:v>
                      </c:pt>
                      <c:pt idx="65" formatCode="0.0">
                        <c:v>1.2567380324375299E-2</c:v>
                      </c:pt>
                      <c:pt idx="66" formatCode="0.0">
                        <c:v>1.2567380324375299E-2</c:v>
                      </c:pt>
                      <c:pt idx="67" formatCode="0.0">
                        <c:v>1.2567380324375299E-2</c:v>
                      </c:pt>
                      <c:pt idx="68" formatCode="0.0">
                        <c:v>1.2567380324375299E-2</c:v>
                      </c:pt>
                      <c:pt idx="69" formatCode="0.0">
                        <c:v>1.2567380324375299E-2</c:v>
                      </c:pt>
                      <c:pt idx="70" formatCode="0.0">
                        <c:v>1.2567380324375299E-2</c:v>
                      </c:pt>
                      <c:pt idx="71" formatCode="0.0">
                        <c:v>1.2567380324375299E-2</c:v>
                      </c:pt>
                      <c:pt idx="72" formatCode="0.0">
                        <c:v>1.2567380324375299E-2</c:v>
                      </c:pt>
                      <c:pt idx="73" formatCode="0.0">
                        <c:v>1.2567380324375299E-2</c:v>
                      </c:pt>
                      <c:pt idx="74" formatCode="0.0">
                        <c:v>1.2567380324375299E-2</c:v>
                      </c:pt>
                      <c:pt idx="75" formatCode="0.0">
                        <c:v>1.2567380324375299E-2</c:v>
                      </c:pt>
                      <c:pt idx="76" formatCode="0.0">
                        <c:v>1.2567380324375299E-2</c:v>
                      </c:pt>
                      <c:pt idx="77" formatCode="0.0">
                        <c:v>1.2567380324375299E-2</c:v>
                      </c:pt>
                      <c:pt idx="78" formatCode="0.0">
                        <c:v>1.2567380324375299E-2</c:v>
                      </c:pt>
                      <c:pt idx="79" formatCode="0.0">
                        <c:v>1.2567380324375299E-2</c:v>
                      </c:pt>
                      <c:pt idx="80" formatCode="0.0">
                        <c:v>1.2567380324375299E-2</c:v>
                      </c:pt>
                      <c:pt idx="81" formatCode="0.0">
                        <c:v>1.2567380324375299E-2</c:v>
                      </c:pt>
                      <c:pt idx="82" formatCode="0.0">
                        <c:v>1.2567380324375299E-2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B7B6-4AA1-9E73-73CC036F44C0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Methane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'Scenario 51-51%'!$D$7</c:f>
              <c:strCache>
                <c:ptCount val="1"/>
                <c:pt idx="0">
                  <c:v>CH4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4D-400A-8111-A3F0C97256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D-400A-8111-A3F0C97256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4D-400A-8111-A3F0C97256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D-400A-8111-A3F0C97256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4D-400A-8111-A3F0C97256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4D-400A-8111-A3F0C972565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4D-400A-8111-A3F0C972565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4D-400A-8111-A3F0C972565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4D-400A-8111-A3F0C972565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4D-400A-8111-A3F0C972565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4D-400A-8111-A3F0C972565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4D-400A-8111-A3F0C972565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C7A1D5A-6CE8-4104-99DA-4894A7888D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04D-400A-8111-A3F0C972565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1AEE6B1-6264-415E-8324-FE90AC3557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04D-400A-8111-A3F0C972565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40E4FF4-EF06-4BFA-9BC3-35A3F6B7F4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04D-400A-8111-A3F0C972565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FBBB3F5-0F3F-457D-A40E-CBEF1B68C3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04D-400A-8111-A3F0C972565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31AD66F-4D6D-4021-82A6-E5E74FE67E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04D-400A-8111-A3F0C972565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73502D2-E051-4715-81C5-4A05149C6A0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04D-400A-8111-A3F0C972565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F597BD9-0BA3-4492-80E7-43DCF531E4B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04D-400A-8111-A3F0C972565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665740F-CA11-4374-ADEA-9A527DEFBB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04D-400A-8111-A3F0C972565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38CC50A-4981-4A46-A1AD-14DA0564CD4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04D-400A-8111-A3F0C972565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88E7B9A-3959-4808-B053-6848A37815B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04D-400A-8111-A3F0C972565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506ABC1-79E7-488E-BFBC-A01F6D79A4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04D-400A-8111-A3F0C972565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76D960B-66E2-4944-A99C-FD1AB5BA61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04D-400A-8111-A3F0C972565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0041281-BE1E-40C2-B617-795E9DF0A74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04D-400A-8111-A3F0C972565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195A908-7E09-4DED-B231-98EBA9633A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04D-400A-8111-A3F0C972565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F8EF94C-5061-49D3-9F85-565FBD1A57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04D-400A-8111-A3F0C972565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E8FDB48-340F-4E14-A469-53F7A184C2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04D-400A-8111-A3F0C972565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0FD8368-730F-46F0-8242-C484EA4639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04D-400A-8111-A3F0C972565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5D85577-08E4-4B31-A773-8225FC7852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04D-400A-8111-A3F0C972565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28F1689-F661-4126-A378-47A6DA5DD7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04D-400A-8111-A3F0C972565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33C2AB7-A1F7-43F1-BE58-62D9FC2141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04D-400A-8111-A3F0C972565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A400376A-EF45-4E0A-9924-1D57CB6CB26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04D-400A-8111-A3F0C972565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A2598DF-57D4-4825-A7E2-0E7FD08980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04D-400A-8111-A3F0C972565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3A8F6D9-D4F3-454A-B2C9-FC67AB46CD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04D-400A-8111-A3F0C972565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195FA39-9E71-4434-808F-5F1FAC76A0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04D-400A-8111-A3F0C972565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6E6C081-6DCE-4C4D-9E62-49BC2FCE30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04D-400A-8111-A3F0C972565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07D6D790-0D40-44F9-AD57-53E4C63BF4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04D-400A-8111-A3F0C972565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5AFCA2B9-78CA-458F-8C4E-D5EA4CA52D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04D-400A-8111-A3F0C972565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F6551F5-36F2-407A-B1D9-28AFF9EBAD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04D-400A-8111-A3F0C972565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F9F00AD-8A4D-4D52-AC05-3C6E98496E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04D-400A-8111-A3F0C972565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7442D590-0FD4-42DC-B5C6-B3E9F52437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04D-400A-8111-A3F0C972565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2E45FD6F-9E0A-4823-9400-14D85AA632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04D-400A-8111-A3F0C972565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96EA514A-7E1C-45CF-A5D3-AFE0F8CA299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04D-400A-8111-A3F0C972565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55A9CA52-AD0B-4169-B041-EC1A70659E1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04D-400A-8111-A3F0C972565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3C09C7F-8935-44B3-BFD2-74FEE1F2311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04D-400A-8111-A3F0C972565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41D497A-BEDB-4B84-9DEC-0DD71F563A6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04D-400A-8111-A3F0C972565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E6E59D6A-AC92-4947-BEE6-3935F10D4A0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04D-400A-8111-A3F0C972565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60E2F9D6-C754-45D6-BCE7-5CF9F45D14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04D-400A-8111-A3F0C972565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83CE6E2-1225-4025-BB9B-C718DC23ABB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04D-400A-8111-A3F0C972565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9339D97-CC7E-4B16-8338-7425C677E50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04D-400A-8111-A3F0C972565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6656ED1C-C4ED-488B-B5E7-5DE6A80A41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04D-400A-8111-A3F0C972565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32E14208-174D-41A4-8C65-A699B8D75F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04D-400A-8111-A3F0C972565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DCDA4F5A-9813-4B57-961E-C52F387D16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04D-400A-8111-A3F0C972565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00616B74-ABD7-478B-A2B1-5EEF316FE0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04D-400A-8111-A3F0C972565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098967DE-D3F9-47DB-A912-B051B41F56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04D-400A-8111-A3F0C972565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FFC1178-1BCB-432E-97C0-A6713C897D7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04D-400A-8111-A3F0C972565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D5878B42-14A3-41D7-B1AD-2B45AF4778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04D-400A-8111-A3F0C972565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E7698024-D246-49A6-9551-1CE77AC886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04D-400A-8111-A3F0C972565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7A9FC519-7086-4454-A566-CBCA5D7B4C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604D-400A-8111-A3F0C972565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5C85F38A-AA79-43F2-AD41-99B787BAA0F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04D-400A-8111-A3F0C972565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01CD656-ECDC-487F-A757-A2149EACC4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604D-400A-8111-A3F0C972565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D6CD9F06-D4CA-4ED5-A3DE-DE8A8DE0766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04D-400A-8111-A3F0C972565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17DFED09-A5FF-491A-B54C-8B27529077C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604D-400A-8111-A3F0C972565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E1348D6-F7C3-4C32-B30C-7E6C39FCB70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04D-400A-8111-A3F0C972565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7D5990F1-E6DC-4320-8307-8A292E40F54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604D-400A-8111-A3F0C972565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33A636C5-2BC6-41A6-84AF-6F5F30483D1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604D-400A-8111-A3F0C972565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AAAC40F2-25BA-413E-9236-D03BDA91065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604D-400A-8111-A3F0C972565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C09199AD-885B-4669-8525-9FFA0D889A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604D-400A-8111-A3F0C972565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56B2A537-E95B-492C-BF87-679C4D0E3C6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604D-400A-8111-A3F0C972565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71D6A694-11A8-482A-A43F-F2FEDD3722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604D-400A-8111-A3F0C972565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E536DDB7-EE1B-4AD8-8CA6-FA3A862F317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604D-400A-8111-A3F0C972565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946F8C03-C5B4-4C0B-8E50-67B78AA5AB5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604D-400A-8111-A3F0C972565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F9125C7D-498A-407E-A507-D0DEEF1864B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604D-400A-8111-A3F0C972565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1253A86D-4E46-4408-B475-9BD526CAD18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604D-400A-8111-A3F0C972565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08667BA1-39CA-4948-9222-3BCFD208BF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604D-400A-8111-A3F0C972565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E41335D8-AF56-47F0-9F72-18511FDE55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604D-400A-8111-A3F0C972565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F7076285-A21A-4A21-A9CE-ABD7B8596C3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604D-400A-8111-A3F0C972565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6AAAC0B0-6F1F-4260-AD27-110B5C122A0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604D-400A-8111-A3F0C972565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E556555-E62F-495C-ABED-5BB1D0FB4B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604D-400A-8111-A3F0C972565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29F4B37E-3DB4-408F-8E7B-08B45838C4C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604D-400A-8111-A3F0C972565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C86FA75D-A916-43D6-B466-9F9A2EB17C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604D-400A-8111-A3F0C972565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72B31A89-7062-43B6-AB6E-18B0EE0945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604D-400A-8111-A3F0C97256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51-51%'!$B$8:$B$90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51-51%'!$D$8:$D$90</c:f>
              <c:numCache>
                <c:formatCode>0.00</c:formatCode>
                <c:ptCount val="83"/>
                <c:pt idx="12">
                  <c:v>0.56846617435307711</c:v>
                </c:pt>
                <c:pt idx="13">
                  <c:v>0.57899497527056076</c:v>
                </c:pt>
                <c:pt idx="14">
                  <c:v>0.58638316837148285</c:v>
                </c:pt>
                <c:pt idx="15">
                  <c:v>0.59483377727766906</c:v>
                </c:pt>
                <c:pt idx="16">
                  <c:v>0.59526602098909942</c:v>
                </c:pt>
                <c:pt idx="17">
                  <c:v>0.60059169683666336</c:v>
                </c:pt>
                <c:pt idx="18">
                  <c:v>0.61511089079967096</c:v>
                </c:pt>
                <c:pt idx="19">
                  <c:v>0.61488733682276098</c:v>
                </c:pt>
                <c:pt idx="20">
                  <c:v>0.62689098869315008</c:v>
                </c:pt>
                <c:pt idx="21">
                  <c:v>0.60985790475145341</c:v>
                </c:pt>
                <c:pt idx="22">
                  <c:v>0.59281659514673379</c:v>
                </c:pt>
                <c:pt idx="23">
                  <c:v>0.60653930034350212</c:v>
                </c:pt>
                <c:pt idx="24">
                  <c:v>0.59584131612224078</c:v>
                </c:pt>
                <c:pt idx="25">
                  <c:v>0.6315771849487738</c:v>
                </c:pt>
                <c:pt idx="26">
                  <c:v>0.58670195261344882</c:v>
                </c:pt>
                <c:pt idx="27">
                  <c:v>0.57896199008081672</c:v>
                </c:pt>
                <c:pt idx="28">
                  <c:v>0.58365900940295345</c:v>
                </c:pt>
                <c:pt idx="29">
                  <c:v>0.54949163157015002</c:v>
                </c:pt>
                <c:pt idx="30">
                  <c:v>0.54327868568762094</c:v>
                </c:pt>
                <c:pt idx="31">
                  <c:v>0.52849395261365861</c:v>
                </c:pt>
                <c:pt idx="32">
                  <c:v>0.53088913019285489</c:v>
                </c:pt>
                <c:pt idx="33">
                  <c:v>0.52067847685625956</c:v>
                </c:pt>
                <c:pt idx="34">
                  <c:v>0.54122860081163016</c:v>
                </c:pt>
                <c:pt idx="35">
                  <c:v>0.55563293823158555</c:v>
                </c:pt>
                <c:pt idx="36">
                  <c:v>0.56469371673730473</c:v>
                </c:pt>
                <c:pt idx="37">
                  <c:v>0.57912274054536717</c:v>
                </c:pt>
                <c:pt idx="38">
                  <c:v>0.59326897730059025</c:v>
                </c:pt>
                <c:pt idx="39">
                  <c:v>0.62003341514735055</c:v>
                </c:pt>
                <c:pt idx="40" formatCode="0.0">
                  <c:v>0.62362502085979499</c:v>
                </c:pt>
                <c:pt idx="41">
                  <c:v>0.60727248931136102</c:v>
                </c:pt>
                <c:pt idx="42">
                  <c:v>0.60563517202162709</c:v>
                </c:pt>
                <c:pt idx="43">
                  <c:v>0.60698426400733474</c:v>
                </c:pt>
                <c:pt idx="44">
                  <c:v>0.57389755741139381</c:v>
                </c:pt>
                <c:pt idx="45">
                  <c:v>0.54676744452183101</c:v>
                </c:pt>
                <c:pt idx="46">
                  <c:v>0.50910422960466262</c:v>
                </c:pt>
                <c:pt idx="47">
                  <c:v>0.47579004258070851</c:v>
                </c:pt>
                <c:pt idx="48">
                  <c:v>0.43818460550961169</c:v>
                </c:pt>
                <c:pt idx="49">
                  <c:v>0.40528891083932894</c:v>
                </c:pt>
                <c:pt idx="50">
                  <c:v>0.37086628045414116</c:v>
                </c:pt>
                <c:pt idx="51">
                  <c:v>0.33726907327362254</c:v>
                </c:pt>
                <c:pt idx="52">
                  <c:v>0.30558169774738841</c:v>
                </c:pt>
                <c:pt idx="53">
                  <c:v>0.30558169774738841</c:v>
                </c:pt>
                <c:pt idx="54">
                  <c:v>0.30558169774738841</c:v>
                </c:pt>
                <c:pt idx="55">
                  <c:v>0.30558169774738841</c:v>
                </c:pt>
                <c:pt idx="56">
                  <c:v>0.30558169774738841</c:v>
                </c:pt>
                <c:pt idx="57">
                  <c:v>0.30558169774738841</c:v>
                </c:pt>
                <c:pt idx="58">
                  <c:v>0.30558169774738841</c:v>
                </c:pt>
                <c:pt idx="59">
                  <c:v>0.30558169774738841</c:v>
                </c:pt>
                <c:pt idx="60">
                  <c:v>0.30558169774738841</c:v>
                </c:pt>
                <c:pt idx="61">
                  <c:v>0.30558169774738841</c:v>
                </c:pt>
                <c:pt idx="62">
                  <c:v>0.30558169774738841</c:v>
                </c:pt>
                <c:pt idx="63">
                  <c:v>0.30558169774738841</c:v>
                </c:pt>
                <c:pt idx="64">
                  <c:v>0.30558169774738841</c:v>
                </c:pt>
                <c:pt idx="65">
                  <c:v>0.30558169774738841</c:v>
                </c:pt>
                <c:pt idx="66">
                  <c:v>0.30558169774738841</c:v>
                </c:pt>
                <c:pt idx="67">
                  <c:v>0.30558169774738841</c:v>
                </c:pt>
                <c:pt idx="68">
                  <c:v>0.30558169774738841</c:v>
                </c:pt>
                <c:pt idx="69">
                  <c:v>0.30558169774738841</c:v>
                </c:pt>
                <c:pt idx="70">
                  <c:v>0.30558169774738841</c:v>
                </c:pt>
                <c:pt idx="71">
                  <c:v>0.30558169774738841</c:v>
                </c:pt>
                <c:pt idx="72">
                  <c:v>0.30558169774738841</c:v>
                </c:pt>
                <c:pt idx="73">
                  <c:v>0.30558169774738841</c:v>
                </c:pt>
                <c:pt idx="74">
                  <c:v>0.30558169774738841</c:v>
                </c:pt>
                <c:pt idx="75">
                  <c:v>0.30558169774738841</c:v>
                </c:pt>
                <c:pt idx="76">
                  <c:v>0.30558169774738841</c:v>
                </c:pt>
                <c:pt idx="77">
                  <c:v>0.30558169774738841</c:v>
                </c:pt>
                <c:pt idx="78">
                  <c:v>0.30558169774738841</c:v>
                </c:pt>
                <c:pt idx="79">
                  <c:v>0.30558169774738841</c:v>
                </c:pt>
                <c:pt idx="80">
                  <c:v>0.30558169774738841</c:v>
                </c:pt>
                <c:pt idx="81">
                  <c:v>0.30558169774738841</c:v>
                </c:pt>
                <c:pt idx="82">
                  <c:v>0.30558169774738841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51-51%'!$Q$8:$Q$130</c15:f>
                <c15:dlblRangeCache>
                  <c:ptCount val="123"/>
                  <c:pt idx="42">
                    <c:v>3%</c:v>
                  </c:pt>
                  <c:pt idx="47">
                    <c:v>24%</c:v>
                  </c:pt>
                  <c:pt idx="52">
                    <c:v>51%</c:v>
                  </c:pt>
                  <c:pt idx="62">
                    <c:v>51%</c:v>
                  </c:pt>
                  <c:pt idx="72">
                    <c:v>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604D-400A-8111-A3F0C9725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51-51%'!$C$7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51-51%'!$C$8:$C$90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39.448958900266781</c:v>
                      </c:pt>
                      <c:pt idx="44" formatCode="0.00">
                        <c:v>39.802372696624296</c:v>
                      </c:pt>
                      <c:pt idx="45" formatCode="0.00">
                        <c:v>40.485152302519481</c:v>
                      </c:pt>
                      <c:pt idx="46" formatCode="0.00">
                        <c:v>36.482080662790658</c:v>
                      </c:pt>
                      <c:pt idx="47" formatCode="0.00">
                        <c:v>33.659201203648905</c:v>
                      </c:pt>
                      <c:pt idx="48" formatCode="0.00">
                        <c:v>30.1106827916946</c:v>
                      </c:pt>
                      <c:pt idx="49" formatCode="0.00">
                        <c:v>27.785173761385483</c:v>
                      </c:pt>
                      <c:pt idx="50" formatCode="0.00">
                        <c:v>25.304090159342181</c:v>
                      </c:pt>
                      <c:pt idx="51" formatCode="0.00">
                        <c:v>23.167906115897903</c:v>
                      </c:pt>
                      <c:pt idx="52" formatCode="0.00">
                        <c:v>21.599015142380825</c:v>
                      </c:pt>
                      <c:pt idx="53">
                        <c:v>20.519064385261782</c:v>
                      </c:pt>
                      <c:pt idx="54">
                        <c:v>19.439113628142817</c:v>
                      </c:pt>
                      <c:pt idx="55">
                        <c:v>18.35916287102372</c:v>
                      </c:pt>
                      <c:pt idx="56">
                        <c:v>17.279212113904677</c:v>
                      </c:pt>
                      <c:pt idx="57">
                        <c:v>16.199261356785652</c:v>
                      </c:pt>
                      <c:pt idx="58">
                        <c:v>15.119310599666598</c:v>
                      </c:pt>
                      <c:pt idx="59">
                        <c:v>14.039359842547555</c:v>
                      </c:pt>
                      <c:pt idx="60">
                        <c:v>12.959409085428508</c:v>
                      </c:pt>
                      <c:pt idx="61">
                        <c:v>11.879458328309468</c:v>
                      </c:pt>
                      <c:pt idx="62">
                        <c:v>10.799507571190423</c:v>
                      </c:pt>
                      <c:pt idx="63">
                        <c:v>9.7195568140713746</c:v>
                      </c:pt>
                      <c:pt idx="64">
                        <c:v>8.6396060569523314</c:v>
                      </c:pt>
                      <c:pt idx="65">
                        <c:v>7.5596552998332918</c:v>
                      </c:pt>
                      <c:pt idx="66">
                        <c:v>6.4797045427142566</c:v>
                      </c:pt>
                      <c:pt idx="67">
                        <c:v>5.399753785595208</c:v>
                      </c:pt>
                      <c:pt idx="68">
                        <c:v>4.3198030284761781</c:v>
                      </c:pt>
                      <c:pt idx="69">
                        <c:v>3.2398522713571314</c:v>
                      </c:pt>
                      <c:pt idx="70">
                        <c:v>2.1599015142380749</c:v>
                      </c:pt>
                      <c:pt idx="71">
                        <c:v>1.0799507571190341</c:v>
                      </c:pt>
                      <c:pt idx="72">
                        <c:v>2.8804233201616342E-15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604D-400A-8111-A3F0C972565F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Nitrous 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'Scenario 51-51%'!$E$7</c:f>
              <c:strCache>
                <c:ptCount val="1"/>
                <c:pt idx="0">
                  <c:v>N2O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FB-4F13-83C7-BD7F8B4D4A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FB-4F13-83C7-BD7F8B4D4A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FB-4F13-83C7-BD7F8B4D4A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FB-4F13-83C7-BD7F8B4D4A0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FB-4F13-83C7-BD7F8B4D4A0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FB-4F13-83C7-BD7F8B4D4A0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FB-4F13-83C7-BD7F8B4D4A0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FB-4F13-83C7-BD7F8B4D4A0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FB-4F13-83C7-BD7F8B4D4A0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FB-4F13-83C7-BD7F8B4D4A0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FB-4F13-83C7-BD7F8B4D4A0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FB-4F13-83C7-BD7F8B4D4A0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2D9EB4D-960E-4883-B632-C04FAD31899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0FB-4F13-83C7-BD7F8B4D4A0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1C3020A-2BD1-40CC-8A39-90B3E948D1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0FB-4F13-83C7-BD7F8B4D4A0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E27B2CE-5A78-4158-915A-E316DE60478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0FB-4F13-83C7-BD7F8B4D4A0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0E091F8-FF66-4136-9758-F3EAE770FD8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0FB-4F13-83C7-BD7F8B4D4A0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E527DFA-B341-41DF-AB0A-B33E1072B34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0FB-4F13-83C7-BD7F8B4D4A0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9DEB831-856F-4262-970D-143ABD920CA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0FB-4F13-83C7-BD7F8B4D4A0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38700C1-6172-4D45-B55B-4F6BADC734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0FB-4F13-83C7-BD7F8B4D4A0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A9D2EFA-FFCB-4ACA-8393-A7A8D6DA19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0FB-4F13-83C7-BD7F8B4D4A0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7F373F9-F628-47E9-9B90-269E3ACD141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0FB-4F13-83C7-BD7F8B4D4A0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3037987-C3B0-4798-892D-C381E1BE795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0FB-4F13-83C7-BD7F8B4D4A0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A16CD8B-C637-4038-9072-7D5362DA705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0FB-4F13-83C7-BD7F8B4D4A0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6AC7A94-B3B4-4682-95E0-B4A01DD9F9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0FB-4F13-83C7-BD7F8B4D4A0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F5D2D64-0560-4E04-9AC8-D74138D8C5E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0FB-4F13-83C7-BD7F8B4D4A0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B270C75-1B84-4D6B-8993-38DA6BFF34C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0FB-4F13-83C7-BD7F8B4D4A0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43E0C7E-DCFE-466E-93FE-E8EAF9A0C71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0FB-4F13-83C7-BD7F8B4D4A0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FF8F19C-A9B4-4FFE-8F34-88F8E97D95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0FB-4F13-83C7-BD7F8B4D4A0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6128480-0BF2-466C-BCD4-A6BFB9AC5E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D0FB-4F13-83C7-BD7F8B4D4A0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70661BAA-9BED-45DD-989F-0471CB2E35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D0FB-4F13-83C7-BD7F8B4D4A0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0C097A7-B5EA-48B5-86FB-A454354562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0FB-4F13-83C7-BD7F8B4D4A0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24BEB59-38A3-4632-B178-07D3D1CCBD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0FB-4F13-83C7-BD7F8B4D4A0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453D819-A9FE-4F06-AC7F-0E3D304EA38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0FB-4F13-83C7-BD7F8B4D4A0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9A82A13-D1DE-4ADC-AA88-341C3E6B912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0FB-4F13-83C7-BD7F8B4D4A0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92EE5B8-729E-4E28-A8C7-DE2ECC5D71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D0FB-4F13-83C7-BD7F8B4D4A0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97DDB7B-51A1-4833-B6B9-58353EB039B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0FB-4F13-83C7-BD7F8B4D4A0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C0EB22B-60DA-4F31-A76D-F267D20BDC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D0FB-4F13-83C7-BD7F8B4D4A0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85BD225A-F026-48C0-B6D9-7253BF3DD8E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D0FB-4F13-83C7-BD7F8B4D4A0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CCF3418-DCC1-4DD5-B0B7-F6774CDE21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D0FB-4F13-83C7-BD7F8B4D4A0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F53E3EA-618B-4F28-AEBC-BDD27F2D7B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D0FB-4F13-83C7-BD7F8B4D4A0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BA5D54B-2305-49BA-94E8-F02613CB72B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D0FB-4F13-83C7-BD7F8B4D4A0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11A1FD0-9290-4664-8611-86E546D1821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D0FB-4F13-83C7-BD7F8B4D4A0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761F040-4409-4346-A3DB-301451ABCF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0FB-4F13-83C7-BD7F8B4D4A0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6A4E0F2-3AFA-403E-BEFB-CEB3277586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0FB-4F13-83C7-BD7F8B4D4A0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DCB9F91-38E9-4776-972E-156E89CB482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0FB-4F13-83C7-BD7F8B4D4A0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688BEF29-CE0D-4550-8D94-5D57E690BC3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0FB-4F13-83C7-BD7F8B4D4A0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C522C36E-E262-45D8-A80E-7B1F40851FC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0FB-4F13-83C7-BD7F8B4D4A0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B00B6712-E4AE-43A6-8725-1C042CCC53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0FB-4F13-83C7-BD7F8B4D4A0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90A635F7-3905-46C8-BAB6-150990A05D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0FB-4F13-83C7-BD7F8B4D4A0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EDDFACE-EFAE-46AF-829B-721D3B7A1F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0FB-4F13-83C7-BD7F8B4D4A0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437BDD5-6EE1-4162-A9A8-5BB4DB65D6C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0FB-4F13-83C7-BD7F8B4D4A0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0DF5ED76-5986-47B4-A8DD-A692ECB82C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0FB-4F13-83C7-BD7F8B4D4A0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9AAD53C-2232-43FE-9BE7-4B72C038AF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0FB-4F13-83C7-BD7F8B4D4A0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30E170B-B699-4D8C-9582-CAF1EB547F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0FB-4F13-83C7-BD7F8B4D4A0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EE9C51A3-EF13-4799-A103-CCE5B5F02E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0FB-4F13-83C7-BD7F8B4D4A0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3E50D5A9-17E8-43C2-B90D-B55B0F1C94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0FB-4F13-83C7-BD7F8B4D4A0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A4B7A876-2673-42C3-A243-ACBBCD2AE5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D0FB-4F13-83C7-BD7F8B4D4A0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F006B1DB-4CE5-4629-AC6A-6D893D18AD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D0FB-4F13-83C7-BD7F8B4D4A0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820E659-4C23-4328-AA29-B7A29A1DF2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D0FB-4F13-83C7-BD7F8B4D4A0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12409700-BA2D-438B-95AC-46FAA30710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D0FB-4F13-83C7-BD7F8B4D4A0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DE39F865-A66C-4BD4-8A97-62CDEF1BCA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D0FB-4F13-83C7-BD7F8B4D4A0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59E08A0A-3A9C-4A5B-A69C-1FC594395C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D0FB-4F13-83C7-BD7F8B4D4A0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DAA50E67-0889-42F5-904B-BCD27DEE477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D0FB-4F13-83C7-BD7F8B4D4A0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1F7F0717-9F12-4D9A-AA3B-E839B28D045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D0FB-4F13-83C7-BD7F8B4D4A0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080068BA-EE35-45E2-A4E6-E839F6E475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D0FB-4F13-83C7-BD7F8B4D4A0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89931A22-8F14-4AD0-B12B-8604DBA8ED7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D0FB-4F13-83C7-BD7F8B4D4A0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429D8888-4DEC-4B38-9F73-724D8C944F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D0FB-4F13-83C7-BD7F8B4D4A0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C38B391D-AE84-430A-9F23-CDFB7B4265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D0FB-4F13-83C7-BD7F8B4D4A0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B72839E8-4FCF-40A3-A8F5-A3369A99FE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D0FB-4F13-83C7-BD7F8B4D4A0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658DBA8F-46A2-4828-B3DB-A8EA671D72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D0FB-4F13-83C7-BD7F8B4D4A0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19831FBA-1848-49B9-B59A-63A805F744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D0FB-4F13-83C7-BD7F8B4D4A0C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8AF6307E-C38A-4522-AE9F-B9899BD865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D0FB-4F13-83C7-BD7F8B4D4A0C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B1BEF038-6E81-4CE9-9A58-687B1A91686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D0FB-4F13-83C7-BD7F8B4D4A0C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BB8B3D1-D203-47C1-B546-B8F790C7067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D0FB-4F13-83C7-BD7F8B4D4A0C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2AF51AAB-3E7E-4F68-BEE6-5D59652662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D0FB-4F13-83C7-BD7F8B4D4A0C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3ABE5C18-6AF7-4CA9-A53A-3F38FD4C0B1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D0FB-4F13-83C7-BD7F8B4D4A0C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D9D07A89-5C2E-4F6C-A042-7870721740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D0FB-4F13-83C7-BD7F8B4D4A0C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26035C19-4C51-4E83-982F-392462F3B0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D0FB-4F13-83C7-BD7F8B4D4A0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744E6671-B003-463C-B35C-153F49B346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D0FB-4F13-83C7-BD7F8B4D4A0C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4FF6DC2D-A103-4C61-AC39-AC3173F71A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D0FB-4F13-83C7-BD7F8B4D4A0C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80086044-42E3-4B7B-B430-FFC1F65EC7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D0FB-4F13-83C7-BD7F8B4D4A0C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76EE37FA-CBE1-4ECF-A3E7-3E35408663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D0FB-4F13-83C7-BD7F8B4D4A0C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A2BC6477-9849-48DA-95D5-C436A66F0D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D0FB-4F13-83C7-BD7F8B4D4A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51-51%'!$B$8:$B$90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51-51%'!$E$8:$E$90</c:f>
              <c:numCache>
                <c:formatCode>0.00</c:formatCode>
                <c:ptCount val="83"/>
                <c:pt idx="12">
                  <c:v>2.6227661646226468E-2</c:v>
                </c:pt>
                <c:pt idx="13">
                  <c:v>2.554114757699584E-2</c:v>
                </c:pt>
                <c:pt idx="14">
                  <c:v>2.5204417941327273E-2</c:v>
                </c:pt>
                <c:pt idx="15">
                  <c:v>2.5697521605793531E-2</c:v>
                </c:pt>
                <c:pt idx="16">
                  <c:v>2.6660195601452181E-2</c:v>
                </c:pt>
                <c:pt idx="17">
                  <c:v>2.7848538989904151E-2</c:v>
                </c:pt>
                <c:pt idx="18">
                  <c:v>2.8242940550096497E-2</c:v>
                </c:pt>
                <c:pt idx="19">
                  <c:v>2.7991006485181408E-2</c:v>
                </c:pt>
                <c:pt idx="20">
                  <c:v>2.9429943506676829E-2</c:v>
                </c:pt>
                <c:pt idx="21">
                  <c:v>2.8645206014373741E-2</c:v>
                </c:pt>
                <c:pt idx="22">
                  <c:v>2.7713149439546961E-2</c:v>
                </c:pt>
                <c:pt idx="23">
                  <c:v>2.6361520111669961E-2</c:v>
                </c:pt>
                <c:pt idx="24">
                  <c:v>2.5205268301960501E-2</c:v>
                </c:pt>
                <c:pt idx="25">
                  <c:v>2.5051707160096713E-2</c:v>
                </c:pt>
                <c:pt idx="26">
                  <c:v>2.4462801837163501E-2</c:v>
                </c:pt>
                <c:pt idx="27">
                  <c:v>2.4090144176706841E-2</c:v>
                </c:pt>
                <c:pt idx="28">
                  <c:v>2.3416369558615369E-2</c:v>
                </c:pt>
                <c:pt idx="29">
                  <c:v>2.2587866931128592E-2</c:v>
                </c:pt>
                <c:pt idx="30">
                  <c:v>2.252824456889773E-2</c:v>
                </c:pt>
                <c:pt idx="31">
                  <c:v>2.1984221435495593E-2</c:v>
                </c:pt>
                <c:pt idx="32">
                  <c:v>2.3205006831574712E-2</c:v>
                </c:pt>
                <c:pt idx="33">
                  <c:v>2.1596923732384501E-2</c:v>
                </c:pt>
                <c:pt idx="34">
                  <c:v>2.2350835962576289E-2</c:v>
                </c:pt>
                <c:pt idx="35">
                  <c:v>2.3861676615019551E-2</c:v>
                </c:pt>
                <c:pt idx="36">
                  <c:v>2.3087068532383508E-2</c:v>
                </c:pt>
                <c:pt idx="37">
                  <c:v>2.3139800195035771E-2</c:v>
                </c:pt>
                <c:pt idx="38">
                  <c:v>2.3402918953505311E-2</c:v>
                </c:pt>
                <c:pt idx="39">
                  <c:v>2.4736923302581051E-2</c:v>
                </c:pt>
                <c:pt idx="40">
                  <c:v>2.5646912762990196E-2</c:v>
                </c:pt>
                <c:pt idx="41">
                  <c:v>2.4309378074883786E-2</c:v>
                </c:pt>
                <c:pt idx="42">
                  <c:v>2.4191018892461238E-2</c:v>
                </c:pt>
                <c:pt idx="43">
                  <c:v>2.4288542705006529E-2</c:v>
                </c:pt>
                <c:pt idx="44">
                  <c:v>2.3015285089407308E-2</c:v>
                </c:pt>
                <c:pt idx="45">
                  <c:v>2.2172620594353928E-2</c:v>
                </c:pt>
                <c:pt idx="46">
                  <c:v>2.0568534136570747E-2</c:v>
                </c:pt>
                <c:pt idx="47">
                  <c:v>1.9278832306007465E-2</c:v>
                </c:pt>
                <c:pt idx="48">
                  <c:v>1.7678922521045151E-2</c:v>
                </c:pt>
                <c:pt idx="49">
                  <c:v>1.6419472867711775E-2</c:v>
                </c:pt>
                <c:pt idx="50">
                  <c:v>1.5049643348508104E-2</c:v>
                </c:pt>
                <c:pt idx="51">
                  <c:v>1.3739482420279323E-2</c:v>
                </c:pt>
                <c:pt idx="52">
                  <c:v>1.2567380324375299E-2</c:v>
                </c:pt>
                <c:pt idx="53" formatCode="0.0">
                  <c:v>1.2567380324375299E-2</c:v>
                </c:pt>
                <c:pt idx="54" formatCode="0.0">
                  <c:v>1.2567380324375299E-2</c:v>
                </c:pt>
                <c:pt idx="55" formatCode="0.0">
                  <c:v>1.2567380324375299E-2</c:v>
                </c:pt>
                <c:pt idx="56" formatCode="0.0">
                  <c:v>1.2567380324375299E-2</c:v>
                </c:pt>
                <c:pt idx="57" formatCode="0.0">
                  <c:v>1.2567380324375299E-2</c:v>
                </c:pt>
                <c:pt idx="58" formatCode="0.0">
                  <c:v>1.2567380324375299E-2</c:v>
                </c:pt>
                <c:pt idx="59" formatCode="0.0">
                  <c:v>1.2567380324375299E-2</c:v>
                </c:pt>
                <c:pt idx="60" formatCode="0.0">
                  <c:v>1.2567380324375299E-2</c:v>
                </c:pt>
                <c:pt idx="61" formatCode="0.0">
                  <c:v>1.2567380324375299E-2</c:v>
                </c:pt>
                <c:pt idx="62" formatCode="0.0">
                  <c:v>1.2567380324375299E-2</c:v>
                </c:pt>
                <c:pt idx="63" formatCode="0.0">
                  <c:v>1.2567380324375299E-2</c:v>
                </c:pt>
                <c:pt idx="64" formatCode="0.0">
                  <c:v>1.2567380324375299E-2</c:v>
                </c:pt>
                <c:pt idx="65" formatCode="0.0">
                  <c:v>1.2567380324375299E-2</c:v>
                </c:pt>
                <c:pt idx="66" formatCode="0.0">
                  <c:v>1.2567380324375299E-2</c:v>
                </c:pt>
                <c:pt idx="67" formatCode="0.0">
                  <c:v>1.2567380324375299E-2</c:v>
                </c:pt>
                <c:pt idx="68" formatCode="0.0">
                  <c:v>1.2567380324375299E-2</c:v>
                </c:pt>
                <c:pt idx="69" formatCode="0.0">
                  <c:v>1.2567380324375299E-2</c:v>
                </c:pt>
                <c:pt idx="70" formatCode="0.0">
                  <c:v>1.2567380324375299E-2</c:v>
                </c:pt>
                <c:pt idx="71" formatCode="0.0">
                  <c:v>1.2567380324375299E-2</c:v>
                </c:pt>
                <c:pt idx="72" formatCode="0.0">
                  <c:v>1.2567380324375299E-2</c:v>
                </c:pt>
                <c:pt idx="73" formatCode="0.0">
                  <c:v>1.2567380324375299E-2</c:v>
                </c:pt>
                <c:pt idx="74" formatCode="0.0">
                  <c:v>1.2567380324375299E-2</c:v>
                </c:pt>
                <c:pt idx="75" formatCode="0.0">
                  <c:v>1.2567380324375299E-2</c:v>
                </c:pt>
                <c:pt idx="76" formatCode="0.0">
                  <c:v>1.2567380324375299E-2</c:v>
                </c:pt>
                <c:pt idx="77" formatCode="0.0">
                  <c:v>1.2567380324375299E-2</c:v>
                </c:pt>
                <c:pt idx="78" formatCode="0.0">
                  <c:v>1.2567380324375299E-2</c:v>
                </c:pt>
                <c:pt idx="79" formatCode="0.0">
                  <c:v>1.2567380324375299E-2</c:v>
                </c:pt>
                <c:pt idx="80" formatCode="0.0">
                  <c:v>1.2567380324375299E-2</c:v>
                </c:pt>
                <c:pt idx="81" formatCode="0.0">
                  <c:v>1.2567380324375299E-2</c:v>
                </c:pt>
                <c:pt idx="82" formatCode="0.0">
                  <c:v>1.2567380324375299E-2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51-51%'!$R$8:$R$130</c15:f>
                <c15:dlblRangeCache>
                  <c:ptCount val="123"/>
                  <c:pt idx="42">
                    <c:v>6%</c:v>
                  </c:pt>
                  <c:pt idx="47">
                    <c:v>25%</c:v>
                  </c:pt>
                  <c:pt idx="52">
                    <c:v>51%</c:v>
                  </c:pt>
                  <c:pt idx="62">
                    <c:v>51%</c:v>
                  </c:pt>
                  <c:pt idx="72">
                    <c:v>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D0FB-4F13-83C7-BD7F8B4D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51-51%'!$C$7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51-51%'!$C$8:$C$90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39.448958900266781</c:v>
                      </c:pt>
                      <c:pt idx="44" formatCode="0.00">
                        <c:v>39.802372696624296</c:v>
                      </c:pt>
                      <c:pt idx="45" formatCode="0.00">
                        <c:v>40.485152302519481</c:v>
                      </c:pt>
                      <c:pt idx="46" formatCode="0.00">
                        <c:v>36.482080662790658</c:v>
                      </c:pt>
                      <c:pt idx="47" formatCode="0.00">
                        <c:v>33.659201203648905</c:v>
                      </c:pt>
                      <c:pt idx="48" formatCode="0.00">
                        <c:v>30.1106827916946</c:v>
                      </c:pt>
                      <c:pt idx="49" formatCode="0.00">
                        <c:v>27.785173761385483</c:v>
                      </c:pt>
                      <c:pt idx="50" formatCode="0.00">
                        <c:v>25.304090159342181</c:v>
                      </c:pt>
                      <c:pt idx="51" formatCode="0.00">
                        <c:v>23.167906115897903</c:v>
                      </c:pt>
                      <c:pt idx="52" formatCode="0.00">
                        <c:v>21.599015142380825</c:v>
                      </c:pt>
                      <c:pt idx="53">
                        <c:v>20.519064385261782</c:v>
                      </c:pt>
                      <c:pt idx="54">
                        <c:v>19.439113628142817</c:v>
                      </c:pt>
                      <c:pt idx="55">
                        <c:v>18.35916287102372</c:v>
                      </c:pt>
                      <c:pt idx="56">
                        <c:v>17.279212113904677</c:v>
                      </c:pt>
                      <c:pt idx="57">
                        <c:v>16.199261356785652</c:v>
                      </c:pt>
                      <c:pt idx="58">
                        <c:v>15.119310599666598</c:v>
                      </c:pt>
                      <c:pt idx="59">
                        <c:v>14.039359842547555</c:v>
                      </c:pt>
                      <c:pt idx="60">
                        <c:v>12.959409085428508</c:v>
                      </c:pt>
                      <c:pt idx="61">
                        <c:v>11.879458328309468</c:v>
                      </c:pt>
                      <c:pt idx="62">
                        <c:v>10.799507571190423</c:v>
                      </c:pt>
                      <c:pt idx="63">
                        <c:v>9.7195568140713746</c:v>
                      </c:pt>
                      <c:pt idx="64">
                        <c:v>8.6396060569523314</c:v>
                      </c:pt>
                      <c:pt idx="65">
                        <c:v>7.5596552998332918</c:v>
                      </c:pt>
                      <c:pt idx="66">
                        <c:v>6.4797045427142566</c:v>
                      </c:pt>
                      <c:pt idx="67">
                        <c:v>5.399753785595208</c:v>
                      </c:pt>
                      <c:pt idx="68">
                        <c:v>4.3198030284761781</c:v>
                      </c:pt>
                      <c:pt idx="69">
                        <c:v>3.2398522713571314</c:v>
                      </c:pt>
                      <c:pt idx="70">
                        <c:v>2.1599015142380749</c:v>
                      </c:pt>
                      <c:pt idx="71">
                        <c:v>1.0799507571190341</c:v>
                      </c:pt>
                      <c:pt idx="72">
                        <c:v>2.8804233201616342E-15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D0FB-4F13-83C7-BD7F8B4D4A0C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0.57389755741139381</c:v>
                      </c:pt>
                      <c:pt idx="45">
                        <c:v>0.54676744452183101</c:v>
                      </c:pt>
                      <c:pt idx="46">
                        <c:v>0.50910422960466262</c:v>
                      </c:pt>
                      <c:pt idx="47">
                        <c:v>0.47579004258070851</c:v>
                      </c:pt>
                      <c:pt idx="48">
                        <c:v>0.43818460550961169</c:v>
                      </c:pt>
                      <c:pt idx="49">
                        <c:v>0.40528891083932894</c:v>
                      </c:pt>
                      <c:pt idx="50">
                        <c:v>0.37086628045414116</c:v>
                      </c:pt>
                      <c:pt idx="51">
                        <c:v>0.33726907327362254</c:v>
                      </c:pt>
                      <c:pt idx="52">
                        <c:v>0.30558169774738841</c:v>
                      </c:pt>
                      <c:pt idx="53">
                        <c:v>0.30558169774738841</c:v>
                      </c:pt>
                      <c:pt idx="54">
                        <c:v>0.30558169774738841</c:v>
                      </c:pt>
                      <c:pt idx="55">
                        <c:v>0.30558169774738841</c:v>
                      </c:pt>
                      <c:pt idx="56">
                        <c:v>0.30558169774738841</c:v>
                      </c:pt>
                      <c:pt idx="57">
                        <c:v>0.30558169774738841</c:v>
                      </c:pt>
                      <c:pt idx="58">
                        <c:v>0.30558169774738841</c:v>
                      </c:pt>
                      <c:pt idx="59">
                        <c:v>0.30558169774738841</c:v>
                      </c:pt>
                      <c:pt idx="60">
                        <c:v>0.30558169774738841</c:v>
                      </c:pt>
                      <c:pt idx="61">
                        <c:v>0.30558169774738841</c:v>
                      </c:pt>
                      <c:pt idx="62">
                        <c:v>0.30558169774738841</c:v>
                      </c:pt>
                      <c:pt idx="63">
                        <c:v>0.30558169774738841</c:v>
                      </c:pt>
                      <c:pt idx="64">
                        <c:v>0.30558169774738841</c:v>
                      </c:pt>
                      <c:pt idx="65">
                        <c:v>0.30558169774738841</c:v>
                      </c:pt>
                      <c:pt idx="66">
                        <c:v>0.30558169774738841</c:v>
                      </c:pt>
                      <c:pt idx="67">
                        <c:v>0.30558169774738841</c:v>
                      </c:pt>
                      <c:pt idx="68">
                        <c:v>0.30558169774738841</c:v>
                      </c:pt>
                      <c:pt idx="69">
                        <c:v>0.30558169774738841</c:v>
                      </c:pt>
                      <c:pt idx="70">
                        <c:v>0.30558169774738841</c:v>
                      </c:pt>
                      <c:pt idx="71">
                        <c:v>0.30558169774738841</c:v>
                      </c:pt>
                      <c:pt idx="72">
                        <c:v>0.30558169774738841</c:v>
                      </c:pt>
                      <c:pt idx="73">
                        <c:v>0.30558169774738841</c:v>
                      </c:pt>
                      <c:pt idx="74">
                        <c:v>0.30558169774738841</c:v>
                      </c:pt>
                      <c:pt idx="75">
                        <c:v>0.30558169774738841</c:v>
                      </c:pt>
                      <c:pt idx="76">
                        <c:v>0.30558169774738841</c:v>
                      </c:pt>
                      <c:pt idx="77">
                        <c:v>0.30558169774738841</c:v>
                      </c:pt>
                      <c:pt idx="78">
                        <c:v>0.30558169774738841</c:v>
                      </c:pt>
                      <c:pt idx="79">
                        <c:v>0.30558169774738841</c:v>
                      </c:pt>
                      <c:pt idx="80">
                        <c:v>0.30558169774738841</c:v>
                      </c:pt>
                      <c:pt idx="81">
                        <c:v>0.30558169774738841</c:v>
                      </c:pt>
                      <c:pt idx="82">
                        <c:v>0.30558169774738841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D0FB-4F13-83C7-BD7F8B4D4A0C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All GHG </a:t>
            </a:r>
          </a:p>
          <a:p>
            <a:pPr>
              <a:defRPr/>
            </a:pPr>
            <a:r>
              <a:rPr lang="en-IE"/>
              <a:t>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'Scenario 51-51%'!$C$7</c:f>
              <c:strCache>
                <c:ptCount val="1"/>
                <c:pt idx="0">
                  <c:v>CO2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91-4337-B132-4EE2524254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1-4337-B132-4EE2524254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1-4337-B132-4EE2524254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1-4337-B132-4EE25242541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91-4337-B132-4EE25242541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1-4337-B132-4EE2524254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91-4337-B132-4EE25242541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1-4337-B132-4EE25242541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91-4337-B132-4EE25242541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1-4337-B132-4EE25242541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91-4337-B132-4EE25242541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1-4337-B132-4EE25242541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B5DCDC5-920F-407C-A8CB-1161852D58D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091-4337-B132-4EE25242541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EBE3F05-1D07-4271-8D45-E2612CCEE1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091-4337-B132-4EE25242541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8B6C242-80D2-4413-A237-FC87E90F0C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091-4337-B132-4EE25242541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8F4DBAE-D6F1-49F8-B163-439BBDBA43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091-4337-B132-4EE25242541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5374DD0-7745-4B1E-BC26-032682952B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091-4337-B132-4EE25242541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63EC1B5-0BB9-4267-AA26-F92C47C964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091-4337-B132-4EE25242541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1E75A8F-740D-45CC-A097-CF675139B45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091-4337-B132-4EE25242541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5A1FF1F-654B-4A86-BA84-7DE0A87FA6B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091-4337-B132-4EE25242541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855B51E-AAF5-4534-867F-6FFF6420D4F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091-4337-B132-4EE25242541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1938565-34E0-4B8F-A107-516F609314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091-4337-B132-4EE25242541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66AA0BC-723D-4DA5-B52E-2B181BF6AD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091-4337-B132-4EE25242541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8C8612F-CE13-46F6-ACC4-2B13475544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091-4337-B132-4EE25242541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DBA71E7-1905-44A1-8A25-BE7BBA5CE5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091-4337-B132-4EE25242541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02EDEDA-023A-4B15-A185-76C57B83A6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091-4337-B132-4EE25242541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73AB2C3-A6BB-4D5C-8E36-0B0CACCBBD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091-4337-B132-4EE25242541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38FE2FE-1655-47B4-B719-7AEE5F09C28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091-4337-B132-4EE25242541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612103F-95D7-46A2-A3BB-D5E5DFC76F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091-4337-B132-4EE25242541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C324CF0-9179-4962-9A90-964E48A0A75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091-4337-B132-4EE25242541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96162D2-9BCD-4944-82C0-4C6DCCB961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091-4337-B132-4EE25242541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EE058EE8-43DA-4F18-B9AC-E3E81BF3A41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091-4337-B132-4EE25242541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5B6EB9AC-C47D-4EDF-8A28-FE684524A2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091-4337-B132-4EE25242541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B07E410-A04E-4356-9AB7-BE31700DD00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091-4337-B132-4EE25242541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FD25B3A-C8F8-4FEB-92CC-B943F26597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091-4337-B132-4EE25242541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4D3FAE31-EBA3-4980-B0F1-AB537E99A0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091-4337-B132-4EE25242541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57BA13CA-CD3F-44F0-95A0-4B90FB9728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091-4337-B132-4EE25242541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58A2FDEB-7782-429C-BD6E-51DF43DFAA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091-4337-B132-4EE25242541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285A22D-E1F8-42AF-B649-6CED856B82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091-4337-B132-4EE25242541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D085DA7-6716-4F00-A239-EF5128ECB3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091-4337-B132-4EE25242541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04B0255A-CF72-4866-9D69-409926CBB4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091-4337-B132-4EE25242541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CA8E85E6-9EA1-4E12-A044-D6CE595F29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091-4337-B132-4EE25242541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DA2F80EE-3DA9-48E0-8FCA-D0723DC0DD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091-4337-B132-4EE25242541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C2DBA29E-8158-4951-B81E-2694F95484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091-4337-B132-4EE25242541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5015390-321E-4805-AD99-56B861316C1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7091-4337-B132-4EE25242541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C120E30F-D18E-4EA5-A70B-4223C080858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7091-4337-B132-4EE25242541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A67A64B-A87E-4484-8E03-B9C8DF805BF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7091-4337-B132-4EE25242541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E749533-A930-4396-9089-A767A84FAF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7091-4337-B132-4EE25242541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F6132E5-6CA6-45FD-B912-401111D146C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7091-4337-B132-4EE25242541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869B15B2-C297-42E2-ACEF-E8BF96AE556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7091-4337-B132-4EE25242541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6412252-6E1F-444D-B1E6-48E6447C22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7091-4337-B132-4EE25242541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F3BE582-0FBE-4B2D-8098-A11A15CE012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091-4337-B132-4EE25242541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86C2D580-1482-4B89-BD62-8578A0E9D23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091-4337-B132-4EE25242541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00BE48AE-9101-4B55-8D80-7CD37D08D7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7091-4337-B132-4EE25242541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A735D65D-B12F-4AC6-B222-6ED89B8569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091-4337-B132-4EE25242541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4927400F-0238-4ABC-B456-20BA800F44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7091-4337-B132-4EE25242541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63B86209-6725-4B0F-A8AC-2C20588B38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091-4337-B132-4EE25242541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6FF03F5E-F9B7-4A1C-88A1-767FD9ADD8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091-4337-B132-4EE25242541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3FBA9C8B-3503-4FF2-A0FB-17EA80A3B2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7091-4337-B132-4EE25242541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68FA1D04-F57A-44F1-BA79-F9A1A32AB0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7091-4337-B132-4EE25242541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D8FDA629-59AA-47E9-8829-3C95926945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7091-4337-B132-4EE25242541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D456089B-CC1F-4543-9AB4-67FAB525179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7091-4337-B132-4EE25242541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C2C69780-4A3E-4D73-AC23-02A06738759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7091-4337-B132-4EE25242541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289E56B4-6AC5-41A4-95DB-14C61A9679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7091-4337-B132-4EE25242541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35E22EF8-712B-4B72-B8CE-59A4B6B970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7091-4337-B132-4EE25242541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D03DD24C-475E-45C6-8B1C-207DFC8425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7091-4337-B132-4EE25242541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FD84BAEA-0CE4-4CA6-B31A-5AFB1367F6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7091-4337-B132-4EE25242541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9792CBF4-2D80-482B-845C-C86D970AA69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7091-4337-B132-4EE25242541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6E55A250-29DD-44B6-8002-D56FA2D2E7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7091-4337-B132-4EE25242541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E46416E8-1777-40C8-9400-ACE98C3ECF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7091-4337-B132-4EE25242541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C4F418E9-BE22-4A68-8ACC-A9B8C990C8C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7091-4337-B132-4EE25242541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11BD5E0-02C1-4F65-A7BF-95E9422072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7091-4337-B132-4EE25242541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E13BB454-51F0-4071-AE31-F60C05F990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7091-4337-B132-4EE25242541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6F359D78-E4ED-482A-9D67-A2458EECD4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7091-4337-B132-4EE25242541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8B6BC222-FA10-4F97-92D1-D82EA88312F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7091-4337-B132-4EE25242541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BE2A6293-4424-4022-ABD6-1678BB30C8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7091-4337-B132-4EE25242541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C9353104-3933-4EF4-AA0F-D2C2A7F4EC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7091-4337-B132-4EE25242541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C956E3C4-7B78-49D6-B4D7-1892CD45FA8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7091-4337-B132-4EE25242541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8AB464BE-B7E0-43F2-AB80-077ED74074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7091-4337-B132-4EE25242541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85698FF-0C0A-4F8D-B750-973E96DBDD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7091-4337-B132-4EE25242541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520DD59C-8997-47B8-A4EB-53977D7ABA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7091-4337-B132-4EE25242541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897B558A-91DC-41A2-A3E2-B09EA7AB87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7091-4337-B132-4EE25242541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23F28DCE-D088-4372-85EF-7D55720AC8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7091-4337-B132-4EE2524254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'Scenario 51-51%'!$B$8:$B$90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51-51%'!$C$8:$C$90</c:f>
              <c:numCache>
                <c:formatCode>0.0</c:formatCode>
                <c:ptCount val="8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 formatCode="0.00">
                  <c:v>42.847003375390081</c:v>
                </c:pt>
                <c:pt idx="42" formatCode="0.00">
                  <c:v>37.397075829274357</c:v>
                </c:pt>
                <c:pt idx="43" formatCode="0.00">
                  <c:v>39.448958900266781</c:v>
                </c:pt>
                <c:pt idx="44" formatCode="0.00">
                  <c:v>39.802372696624296</c:v>
                </c:pt>
                <c:pt idx="45" formatCode="0.00">
                  <c:v>40.485152302519481</c:v>
                </c:pt>
                <c:pt idx="46" formatCode="0.00">
                  <c:v>36.482080662790658</c:v>
                </c:pt>
                <c:pt idx="47" formatCode="0.00">
                  <c:v>33.659201203648905</c:v>
                </c:pt>
                <c:pt idx="48" formatCode="0.00">
                  <c:v>30.1106827916946</c:v>
                </c:pt>
                <c:pt idx="49" formatCode="0.00">
                  <c:v>27.785173761385483</c:v>
                </c:pt>
                <c:pt idx="50" formatCode="0.00">
                  <c:v>25.304090159342181</c:v>
                </c:pt>
                <c:pt idx="51" formatCode="0.00">
                  <c:v>23.167906115897903</c:v>
                </c:pt>
                <c:pt idx="52" formatCode="0.00">
                  <c:v>21.599015142380825</c:v>
                </c:pt>
                <c:pt idx="53">
                  <c:v>20.519064385261782</c:v>
                </c:pt>
                <c:pt idx="54">
                  <c:v>19.439113628142817</c:v>
                </c:pt>
                <c:pt idx="55">
                  <c:v>18.35916287102372</c:v>
                </c:pt>
                <c:pt idx="56">
                  <c:v>17.279212113904677</c:v>
                </c:pt>
                <c:pt idx="57">
                  <c:v>16.199261356785652</c:v>
                </c:pt>
                <c:pt idx="58">
                  <c:v>15.119310599666598</c:v>
                </c:pt>
                <c:pt idx="59">
                  <c:v>14.039359842547555</c:v>
                </c:pt>
                <c:pt idx="60">
                  <c:v>12.959409085428508</c:v>
                </c:pt>
                <c:pt idx="61">
                  <c:v>11.879458328309468</c:v>
                </c:pt>
                <c:pt idx="62">
                  <c:v>10.799507571190423</c:v>
                </c:pt>
                <c:pt idx="63">
                  <c:v>9.7195568140713746</c:v>
                </c:pt>
                <c:pt idx="64">
                  <c:v>8.6396060569523314</c:v>
                </c:pt>
                <c:pt idx="65">
                  <c:v>7.5596552998332918</c:v>
                </c:pt>
                <c:pt idx="66">
                  <c:v>6.4797045427142566</c:v>
                </c:pt>
                <c:pt idx="67">
                  <c:v>5.399753785595208</c:v>
                </c:pt>
                <c:pt idx="68">
                  <c:v>4.3198030284761781</c:v>
                </c:pt>
                <c:pt idx="69">
                  <c:v>3.2398522713571314</c:v>
                </c:pt>
                <c:pt idx="70">
                  <c:v>2.1599015142380749</c:v>
                </c:pt>
                <c:pt idx="71">
                  <c:v>1.0799507571190341</c:v>
                </c:pt>
                <c:pt idx="72">
                  <c:v>2.8804233201616342E-15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51-51%'!$P$17:$P$130</c15:f>
                <c15:dlblRangeCache>
                  <c:ptCount val="114"/>
                  <c:pt idx="33">
                    <c:v>15%</c:v>
                  </c:pt>
                  <c:pt idx="38">
                    <c:v>24%</c:v>
                  </c:pt>
                  <c:pt idx="43">
                    <c:v>51%</c:v>
                  </c:pt>
                  <c:pt idx="53">
                    <c:v>75%</c:v>
                  </c:pt>
                  <c:pt idx="63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3-7091-4337-B132-4EE252425419}"/>
            </c:ext>
          </c:extLst>
        </c:ser>
        <c:ser>
          <c:idx val="5"/>
          <c:order val="5"/>
          <c:tx>
            <c:strRef>
              <c:f>'Scenario 51-51%'!$H$7</c:f>
              <c:strCache>
                <c:ptCount val="1"/>
                <c:pt idx="0">
                  <c:v>Total GWP100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'Scenario 51-51%'!$B$8:$B$90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51-51%'!$H$8:$H$90</c:f>
              <c:numCache>
                <c:formatCode>0.0</c:formatCode>
                <c:ptCount val="83"/>
                <c:pt idx="12">
                  <c:v>60.371285135828813</c:v>
                </c:pt>
                <c:pt idx="13">
                  <c:v>61.079275609274696</c:v>
                </c:pt>
                <c:pt idx="14">
                  <c:v>60.814082870505118</c:v>
                </c:pt>
                <c:pt idx="15">
                  <c:v>61.279083136586081</c:v>
                </c:pt>
                <c:pt idx="16">
                  <c:v>62.829862067352011</c:v>
                </c:pt>
                <c:pt idx="17">
                  <c:v>65.314186924368386</c:v>
                </c:pt>
                <c:pt idx="18">
                  <c:v>67.109332342596034</c:v>
                </c:pt>
                <c:pt idx="19">
                  <c:v>67.879578832797961</c:v>
                </c:pt>
                <c:pt idx="20">
                  <c:v>70.222006409004678</c:v>
                </c:pt>
                <c:pt idx="21">
                  <c:v>71.573821544676974</c:v>
                </c:pt>
                <c:pt idx="22">
                  <c:v>75.207295329998146</c:v>
                </c:pt>
                <c:pt idx="23">
                  <c:v>78.632893249834453</c:v>
                </c:pt>
                <c:pt idx="24">
                  <c:v>76.413636136735306</c:v>
                </c:pt>
                <c:pt idx="25">
                  <c:v>77.234067587812561</c:v>
                </c:pt>
                <c:pt idx="26">
                  <c:v>74.808052260998792</c:v>
                </c:pt>
                <c:pt idx="27">
                  <c:v>77.19043263519103</c:v>
                </c:pt>
                <c:pt idx="28">
                  <c:v>77.009329398361913</c:v>
                </c:pt>
                <c:pt idx="29">
                  <c:v>75.117596190678583</c:v>
                </c:pt>
                <c:pt idx="30">
                  <c:v>73.863369711588092</c:v>
                </c:pt>
                <c:pt idx="31">
                  <c:v>67.786969362792945</c:v>
                </c:pt>
                <c:pt idx="32">
                  <c:v>69.018761035569526</c:v>
                </c:pt>
                <c:pt idx="33">
                  <c:v>64.128384478069222</c:v>
                </c:pt>
                <c:pt idx="34">
                  <c:v>64.124108589826733</c:v>
                </c:pt>
                <c:pt idx="35">
                  <c:v>64.024101353157619</c:v>
                </c:pt>
                <c:pt idx="36">
                  <c:v>64.931555951025146</c:v>
                </c:pt>
                <c:pt idx="37">
                  <c:v>66.983984008905992</c:v>
                </c:pt>
                <c:pt idx="38">
                  <c:v>68.466679543496781</c:v>
                </c:pt>
                <c:pt idx="39">
                  <c:v>69.644325616627754</c:v>
                </c:pt>
                <c:pt idx="40">
                  <c:v>68.311052432169276</c:v>
                </c:pt>
                <c:pt idx="41">
                  <c:v>66.292618265952399</c:v>
                </c:pt>
                <c:pt idx="42">
                  <c:v>60.765480652382145</c:v>
                </c:pt>
                <c:pt idx="43">
                  <c:v>62.880982109298884</c:v>
                </c:pt>
                <c:pt idx="44">
                  <c:v>61.970554852836258</c:v>
                </c:pt>
                <c:pt idx="45">
                  <c:v>61.670385206634542</c:v>
                </c:pt>
                <c:pt idx="46">
                  <c:v>56.187660637912458</c:v>
                </c:pt>
                <c:pt idx="47">
                  <c:v>52.090212957000716</c:v>
                </c:pt>
                <c:pt idx="48">
                  <c:v>47.064766214040688</c:v>
                </c:pt>
                <c:pt idx="49">
                  <c:v>43.484423574830316</c:v>
                </c:pt>
                <c:pt idx="50">
                  <c:v>39.67650149941278</c:v>
                </c:pt>
                <c:pt idx="51">
                  <c:v>36.252403008933356</c:v>
                </c:pt>
                <c:pt idx="52">
                  <c:v>33.485658465267157</c:v>
                </c:pt>
                <c:pt idx="53">
                  <c:v>32.239189918850144</c:v>
                </c:pt>
                <c:pt idx="54">
                  <c:v>30.992721372433202</c:v>
                </c:pt>
                <c:pt idx="55">
                  <c:v>29.746252826016132</c:v>
                </c:pt>
                <c:pt idx="56">
                  <c:v>28.499784279599115</c:v>
                </c:pt>
                <c:pt idx="57">
                  <c:v>27.25331573318212</c:v>
                </c:pt>
                <c:pt idx="58">
                  <c:v>26.006847186765089</c:v>
                </c:pt>
                <c:pt idx="59">
                  <c:v>24.760378640348073</c:v>
                </c:pt>
                <c:pt idx="60">
                  <c:v>23.513910093931059</c:v>
                </c:pt>
                <c:pt idx="61">
                  <c:v>22.267441547514043</c:v>
                </c:pt>
                <c:pt idx="62">
                  <c:v>21.020973001097026</c:v>
                </c:pt>
                <c:pt idx="63">
                  <c:v>19.774504454680002</c:v>
                </c:pt>
                <c:pt idx="64">
                  <c:v>18.528035908262986</c:v>
                </c:pt>
                <c:pt idx="65">
                  <c:v>17.28156736184598</c:v>
                </c:pt>
                <c:pt idx="66">
                  <c:v>16.03509881542897</c:v>
                </c:pt>
                <c:pt idx="67">
                  <c:v>14.788630269011946</c:v>
                </c:pt>
                <c:pt idx="68">
                  <c:v>13.542161722594944</c:v>
                </c:pt>
                <c:pt idx="69">
                  <c:v>12.295693176177926</c:v>
                </c:pt>
                <c:pt idx="70">
                  <c:v>11.049224629760896</c:v>
                </c:pt>
                <c:pt idx="71">
                  <c:v>9.8027560833438834</c:v>
                </c:pt>
                <c:pt idx="72">
                  <c:v>8.5562875369268809</c:v>
                </c:pt>
                <c:pt idx="73">
                  <c:v>11.88664332288633</c:v>
                </c:pt>
                <c:pt idx="74">
                  <c:v>11.88664332288633</c:v>
                </c:pt>
                <c:pt idx="75">
                  <c:v>11.88664332288633</c:v>
                </c:pt>
                <c:pt idx="76">
                  <c:v>11.88664332288633</c:v>
                </c:pt>
                <c:pt idx="77">
                  <c:v>11.88664332288633</c:v>
                </c:pt>
                <c:pt idx="78">
                  <c:v>11.88664332288633</c:v>
                </c:pt>
                <c:pt idx="79">
                  <c:v>11.88664332288633</c:v>
                </c:pt>
                <c:pt idx="80">
                  <c:v>11.88664332288633</c:v>
                </c:pt>
                <c:pt idx="81">
                  <c:v>11.88664332288633</c:v>
                </c:pt>
                <c:pt idx="82">
                  <c:v>11.88664332288633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7091-4337-B132-4EE25242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'Scenario 51-51%'!$D$7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51-51%'!$D$8:$D$90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0.57389755741139381</c:v>
                      </c:pt>
                      <c:pt idx="45">
                        <c:v>0.54676744452183101</c:v>
                      </c:pt>
                      <c:pt idx="46">
                        <c:v>0.50910422960466262</c:v>
                      </c:pt>
                      <c:pt idx="47">
                        <c:v>0.47579004258070851</c:v>
                      </c:pt>
                      <c:pt idx="48">
                        <c:v>0.43818460550961169</c:v>
                      </c:pt>
                      <c:pt idx="49">
                        <c:v>0.40528891083932894</c:v>
                      </c:pt>
                      <c:pt idx="50">
                        <c:v>0.37086628045414116</c:v>
                      </c:pt>
                      <c:pt idx="51">
                        <c:v>0.33726907327362254</c:v>
                      </c:pt>
                      <c:pt idx="52">
                        <c:v>0.30558169774738841</c:v>
                      </c:pt>
                      <c:pt idx="53">
                        <c:v>0.30558169774738841</c:v>
                      </c:pt>
                      <c:pt idx="54">
                        <c:v>0.30558169774738841</c:v>
                      </c:pt>
                      <c:pt idx="55">
                        <c:v>0.30558169774738841</c:v>
                      </c:pt>
                      <c:pt idx="56">
                        <c:v>0.30558169774738841</c:v>
                      </c:pt>
                      <c:pt idx="57">
                        <c:v>0.30558169774738841</c:v>
                      </c:pt>
                      <c:pt idx="58">
                        <c:v>0.30558169774738841</c:v>
                      </c:pt>
                      <c:pt idx="59">
                        <c:v>0.30558169774738841</c:v>
                      </c:pt>
                      <c:pt idx="60">
                        <c:v>0.30558169774738841</c:v>
                      </c:pt>
                      <c:pt idx="61">
                        <c:v>0.30558169774738841</c:v>
                      </c:pt>
                      <c:pt idx="62">
                        <c:v>0.30558169774738841</c:v>
                      </c:pt>
                      <c:pt idx="63">
                        <c:v>0.30558169774738841</c:v>
                      </c:pt>
                      <c:pt idx="64">
                        <c:v>0.30558169774738841</c:v>
                      </c:pt>
                      <c:pt idx="65">
                        <c:v>0.30558169774738841</c:v>
                      </c:pt>
                      <c:pt idx="66">
                        <c:v>0.30558169774738841</c:v>
                      </c:pt>
                      <c:pt idx="67">
                        <c:v>0.30558169774738841</c:v>
                      </c:pt>
                      <c:pt idx="68">
                        <c:v>0.30558169774738841</c:v>
                      </c:pt>
                      <c:pt idx="69">
                        <c:v>0.30558169774738841</c:v>
                      </c:pt>
                      <c:pt idx="70">
                        <c:v>0.30558169774738841</c:v>
                      </c:pt>
                      <c:pt idx="71">
                        <c:v>0.30558169774738841</c:v>
                      </c:pt>
                      <c:pt idx="72">
                        <c:v>0.30558169774738841</c:v>
                      </c:pt>
                      <c:pt idx="73">
                        <c:v>0.30558169774738841</c:v>
                      </c:pt>
                      <c:pt idx="74">
                        <c:v>0.30558169774738841</c:v>
                      </c:pt>
                      <c:pt idx="75">
                        <c:v>0.30558169774738841</c:v>
                      </c:pt>
                      <c:pt idx="76">
                        <c:v>0.30558169774738841</c:v>
                      </c:pt>
                      <c:pt idx="77">
                        <c:v>0.30558169774738841</c:v>
                      </c:pt>
                      <c:pt idx="78">
                        <c:v>0.30558169774738841</c:v>
                      </c:pt>
                      <c:pt idx="79">
                        <c:v>0.30558169774738841</c:v>
                      </c:pt>
                      <c:pt idx="80">
                        <c:v>0.30558169774738841</c:v>
                      </c:pt>
                      <c:pt idx="81">
                        <c:v>0.30558169774738841</c:v>
                      </c:pt>
                      <c:pt idx="82">
                        <c:v>0.30558169774738841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54-7091-4337-B132-4EE25242541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2.3015285089407308E-2</c:v>
                      </c:pt>
                      <c:pt idx="45">
                        <c:v>2.2172620594353928E-2</c:v>
                      </c:pt>
                      <c:pt idx="46">
                        <c:v>2.0568534136570747E-2</c:v>
                      </c:pt>
                      <c:pt idx="47">
                        <c:v>1.9278832306007465E-2</c:v>
                      </c:pt>
                      <c:pt idx="48">
                        <c:v>1.7678922521045151E-2</c:v>
                      </c:pt>
                      <c:pt idx="49">
                        <c:v>1.6419472867711775E-2</c:v>
                      </c:pt>
                      <c:pt idx="50">
                        <c:v>1.5049643348508104E-2</c:v>
                      </c:pt>
                      <c:pt idx="51">
                        <c:v>1.3739482420279323E-2</c:v>
                      </c:pt>
                      <c:pt idx="52">
                        <c:v>1.2567380324375299E-2</c:v>
                      </c:pt>
                      <c:pt idx="53" formatCode="0.0">
                        <c:v>1.2567380324375299E-2</c:v>
                      </c:pt>
                      <c:pt idx="54" formatCode="0.0">
                        <c:v>1.2567380324375299E-2</c:v>
                      </c:pt>
                      <c:pt idx="55" formatCode="0.0">
                        <c:v>1.2567380324375299E-2</c:v>
                      </c:pt>
                      <c:pt idx="56" formatCode="0.0">
                        <c:v>1.2567380324375299E-2</c:v>
                      </c:pt>
                      <c:pt idx="57" formatCode="0.0">
                        <c:v>1.2567380324375299E-2</c:v>
                      </c:pt>
                      <c:pt idx="58" formatCode="0.0">
                        <c:v>1.2567380324375299E-2</c:v>
                      </c:pt>
                      <c:pt idx="59" formatCode="0.0">
                        <c:v>1.2567380324375299E-2</c:v>
                      </c:pt>
                      <c:pt idx="60" formatCode="0.0">
                        <c:v>1.2567380324375299E-2</c:v>
                      </c:pt>
                      <c:pt idx="61" formatCode="0.0">
                        <c:v>1.2567380324375299E-2</c:v>
                      </c:pt>
                      <c:pt idx="62" formatCode="0.0">
                        <c:v>1.2567380324375299E-2</c:v>
                      </c:pt>
                      <c:pt idx="63" formatCode="0.0">
                        <c:v>1.2567380324375299E-2</c:v>
                      </c:pt>
                      <c:pt idx="64" formatCode="0.0">
                        <c:v>1.2567380324375299E-2</c:v>
                      </c:pt>
                      <c:pt idx="65" formatCode="0.0">
                        <c:v>1.2567380324375299E-2</c:v>
                      </c:pt>
                      <c:pt idx="66" formatCode="0.0">
                        <c:v>1.2567380324375299E-2</c:v>
                      </c:pt>
                      <c:pt idx="67" formatCode="0.0">
                        <c:v>1.2567380324375299E-2</c:v>
                      </c:pt>
                      <c:pt idx="68" formatCode="0.0">
                        <c:v>1.2567380324375299E-2</c:v>
                      </c:pt>
                      <c:pt idx="69" formatCode="0.0">
                        <c:v>1.2567380324375299E-2</c:v>
                      </c:pt>
                      <c:pt idx="70" formatCode="0.0">
                        <c:v>1.2567380324375299E-2</c:v>
                      </c:pt>
                      <c:pt idx="71" formatCode="0.0">
                        <c:v>1.2567380324375299E-2</c:v>
                      </c:pt>
                      <c:pt idx="72" formatCode="0.0">
                        <c:v>1.2567380324375299E-2</c:v>
                      </c:pt>
                      <c:pt idx="73" formatCode="0.0">
                        <c:v>1.2567380324375299E-2</c:v>
                      </c:pt>
                      <c:pt idx="74" formatCode="0.0">
                        <c:v>1.2567380324375299E-2</c:v>
                      </c:pt>
                      <c:pt idx="75" formatCode="0.0">
                        <c:v>1.2567380324375299E-2</c:v>
                      </c:pt>
                      <c:pt idx="76" formatCode="0.0">
                        <c:v>1.2567380324375299E-2</c:v>
                      </c:pt>
                      <c:pt idx="77" formatCode="0.0">
                        <c:v>1.2567380324375299E-2</c:v>
                      </c:pt>
                      <c:pt idx="78" formatCode="0.0">
                        <c:v>1.2567380324375299E-2</c:v>
                      </c:pt>
                      <c:pt idx="79" formatCode="0.0">
                        <c:v>1.2567380324375299E-2</c:v>
                      </c:pt>
                      <c:pt idx="80" formatCode="0.0">
                        <c:v>1.2567380324375299E-2</c:v>
                      </c:pt>
                      <c:pt idx="81" formatCode="0.0">
                        <c:v>1.2567380324375299E-2</c:v>
                      </c:pt>
                      <c:pt idx="82" formatCode="0.0">
                        <c:v>1.2567380324375299E-2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5-7091-4337-B132-4EE25242541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51-51%'!$F$7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51-51%'!$F$8:$F$90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15.917052881886159</c:v>
                      </c:pt>
                      <c:pt idx="13">
                        <c:v>16.2118593075757</c:v>
                      </c:pt>
                      <c:pt idx="14">
                        <c:v>16.418728714401521</c:v>
                      </c:pt>
                      <c:pt idx="15">
                        <c:v>16.655345763774733</c:v>
                      </c:pt>
                      <c:pt idx="16">
                        <c:v>16.667448587694786</c:v>
                      </c:pt>
                      <c:pt idx="17">
                        <c:v>16.816567511426573</c:v>
                      </c:pt>
                      <c:pt idx="18">
                        <c:v>17.223104942390787</c:v>
                      </c:pt>
                      <c:pt idx="19">
                        <c:v>17.216845431037306</c:v>
                      </c:pt>
                      <c:pt idx="20">
                        <c:v>17.552947683408203</c:v>
                      </c:pt>
                      <c:pt idx="21">
                        <c:v>17.076021333040696</c:v>
                      </c:pt>
                      <c:pt idx="22">
                        <c:v>16.598864664108547</c:v>
                      </c:pt>
                      <c:pt idx="23">
                        <c:v>16.983100409618061</c:v>
                      </c:pt>
                      <c:pt idx="24">
                        <c:v>16.683556851422743</c:v>
                      </c:pt>
                      <c:pt idx="25">
                        <c:v>17.684161178565667</c:v>
                      </c:pt>
                      <c:pt idx="26">
                        <c:v>16.427654673176566</c:v>
                      </c:pt>
                      <c:pt idx="27">
                        <c:v>16.210935722262867</c:v>
                      </c:pt>
                      <c:pt idx="28">
                        <c:v>16.342452263282695</c:v>
                      </c:pt>
                      <c:pt idx="29">
                        <c:v>15.3857656839642</c:v>
                      </c:pt>
                      <c:pt idx="30">
                        <c:v>15.211803199253387</c:v>
                      </c:pt>
                      <c:pt idx="31">
                        <c:v>14.797830673182441</c:v>
                      </c:pt>
                      <c:pt idx="32">
                        <c:v>14.864895645399937</c:v>
                      </c:pt>
                      <c:pt idx="33">
                        <c:v>14.578997351975268</c:v>
                      </c:pt>
                      <c:pt idx="34">
                        <c:v>15.154400822725645</c:v>
                      </c:pt>
                      <c:pt idx="35">
                        <c:v>15.557722270484396</c:v>
                      </c:pt>
                      <c:pt idx="36">
                        <c:v>15.811424068644532</c:v>
                      </c:pt>
                      <c:pt idx="37">
                        <c:v>16.215436735270281</c:v>
                      </c:pt>
                      <c:pt idx="38">
                        <c:v>16.611531364416528</c:v>
                      </c:pt>
                      <c:pt idx="39">
                        <c:v>17.360935624125815</c:v>
                      </c:pt>
                      <c:pt idx="40">
                        <c:v>17.461500584074258</c:v>
                      </c:pt>
                      <c:pt idx="41">
                        <c:v>17.003629700718108</c:v>
                      </c:pt>
                      <c:pt idx="42">
                        <c:v>16.95778481660556</c:v>
                      </c:pt>
                      <c:pt idx="43">
                        <c:v>16.995559392205372</c:v>
                      </c:pt>
                      <c:pt idx="44">
                        <c:v>16.069131607519026</c:v>
                      </c:pt>
                      <c:pt idx="45">
                        <c:v>15.309488446611269</c:v>
                      </c:pt>
                      <c:pt idx="46">
                        <c:v>14.254918428930553</c:v>
                      </c:pt>
                      <c:pt idx="47">
                        <c:v>13.322121192259837</c:v>
                      </c:pt>
                      <c:pt idx="48">
                        <c:v>12.269168954269126</c:v>
                      </c:pt>
                      <c:pt idx="49">
                        <c:v>11.34808950350121</c:v>
                      </c:pt>
                      <c:pt idx="50">
                        <c:v>10.384255852715953</c:v>
                      </c:pt>
                      <c:pt idx="51">
                        <c:v>9.4435340516614303</c:v>
                      </c:pt>
                      <c:pt idx="52">
                        <c:v>8.5562875369268756</c:v>
                      </c:pt>
                      <c:pt idx="53">
                        <c:v>8.5562875369268756</c:v>
                      </c:pt>
                      <c:pt idx="54">
                        <c:v>8.5562875369268756</c:v>
                      </c:pt>
                      <c:pt idx="55">
                        <c:v>8.5562875369268756</c:v>
                      </c:pt>
                      <c:pt idx="56">
                        <c:v>8.5562875369268756</c:v>
                      </c:pt>
                      <c:pt idx="57">
                        <c:v>8.5562875369268756</c:v>
                      </c:pt>
                      <c:pt idx="58">
                        <c:v>8.5562875369268756</c:v>
                      </c:pt>
                      <c:pt idx="59">
                        <c:v>8.5562875369268756</c:v>
                      </c:pt>
                      <c:pt idx="60">
                        <c:v>8.5562875369268756</c:v>
                      </c:pt>
                      <c:pt idx="61">
                        <c:v>8.5562875369268756</c:v>
                      </c:pt>
                      <c:pt idx="62">
                        <c:v>8.5562875369268756</c:v>
                      </c:pt>
                      <c:pt idx="63">
                        <c:v>8.5562875369268756</c:v>
                      </c:pt>
                      <c:pt idx="64">
                        <c:v>8.5562875369268756</c:v>
                      </c:pt>
                      <c:pt idx="65">
                        <c:v>8.5562875369268756</c:v>
                      </c:pt>
                      <c:pt idx="66">
                        <c:v>8.5562875369268756</c:v>
                      </c:pt>
                      <c:pt idx="67">
                        <c:v>8.5562875369268756</c:v>
                      </c:pt>
                      <c:pt idx="68">
                        <c:v>8.5562875369268756</c:v>
                      </c:pt>
                      <c:pt idx="69">
                        <c:v>8.5562875369268756</c:v>
                      </c:pt>
                      <c:pt idx="70">
                        <c:v>8.5562875369268756</c:v>
                      </c:pt>
                      <c:pt idx="71">
                        <c:v>8.5562875369268756</c:v>
                      </c:pt>
                      <c:pt idx="72">
                        <c:v>8.5562875369268756</c:v>
                      </c:pt>
                      <c:pt idx="73">
                        <c:v>8.5562875369268756</c:v>
                      </c:pt>
                      <c:pt idx="74">
                        <c:v>8.5562875369268756</c:v>
                      </c:pt>
                      <c:pt idx="75">
                        <c:v>8.5562875369268756</c:v>
                      </c:pt>
                      <c:pt idx="76">
                        <c:v>8.5562875369268756</c:v>
                      </c:pt>
                      <c:pt idx="77">
                        <c:v>8.5562875369268756</c:v>
                      </c:pt>
                      <c:pt idx="78">
                        <c:v>8.5562875369268756</c:v>
                      </c:pt>
                      <c:pt idx="79">
                        <c:v>8.5562875369268756</c:v>
                      </c:pt>
                      <c:pt idx="80">
                        <c:v>8.5562875369268756</c:v>
                      </c:pt>
                      <c:pt idx="81">
                        <c:v>8.5562875369268756</c:v>
                      </c:pt>
                      <c:pt idx="82">
                        <c:v>8.5562875369268756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6-7091-4337-B132-4EE25242541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51-51%'!$G$7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51-51%'!$G$8:$G$90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6.9503303362500137</c:v>
                      </c:pt>
                      <c:pt idx="13">
                        <c:v>6.7684041079038977</c:v>
                      </c:pt>
                      <c:pt idx="14">
                        <c:v>6.6791707544517269</c:v>
                      </c:pt>
                      <c:pt idx="15">
                        <c:v>6.8098432255352854</c:v>
                      </c:pt>
                      <c:pt idx="16">
                        <c:v>7.0649518343848277</c:v>
                      </c:pt>
                      <c:pt idx="17">
                        <c:v>7.3798628323245996</c:v>
                      </c:pt>
                      <c:pt idx="18">
                        <c:v>7.484379245775572</c:v>
                      </c:pt>
                      <c:pt idx="19">
                        <c:v>7.4176167185730728</c:v>
                      </c:pt>
                      <c:pt idx="20">
                        <c:v>7.7989350292693596</c:v>
                      </c:pt>
                      <c:pt idx="21">
                        <c:v>7.5909795938090419</c:v>
                      </c:pt>
                      <c:pt idx="22">
                        <c:v>7.3439846014799448</c:v>
                      </c:pt>
                      <c:pt idx="23">
                        <c:v>6.9858028295925401</c:v>
                      </c:pt>
                      <c:pt idx="24">
                        <c:v>6.6793961000195328</c:v>
                      </c:pt>
                      <c:pt idx="25">
                        <c:v>6.6387023974256287</c:v>
                      </c:pt>
                      <c:pt idx="26">
                        <c:v>6.4826424868483281</c:v>
                      </c:pt>
                      <c:pt idx="27">
                        <c:v>6.3838882068273133</c:v>
                      </c:pt>
                      <c:pt idx="28">
                        <c:v>6.2053379330330731</c:v>
                      </c:pt>
                      <c:pt idx="29">
                        <c:v>5.9857847367490766</c:v>
                      </c:pt>
                      <c:pt idx="30">
                        <c:v>5.9699848107578983</c:v>
                      </c:pt>
                      <c:pt idx="31">
                        <c:v>5.8258186804063321</c:v>
                      </c:pt>
                      <c:pt idx="32">
                        <c:v>6.1493268103672989</c:v>
                      </c:pt>
                      <c:pt idx="33">
                        <c:v>5.723184789081893</c:v>
                      </c:pt>
                      <c:pt idx="34">
                        <c:v>5.9229715300827168</c:v>
                      </c:pt>
                      <c:pt idx="35">
                        <c:v>6.323344302980181</c:v>
                      </c:pt>
                      <c:pt idx="36">
                        <c:v>6.1180731610816297</c:v>
                      </c:pt>
                      <c:pt idx="37">
                        <c:v>6.1320470516844789</c:v>
                      </c:pt>
                      <c:pt idx="38">
                        <c:v>6.2017735226789075</c:v>
                      </c:pt>
                      <c:pt idx="39">
                        <c:v>6.5552846751839784</c:v>
                      </c:pt>
                      <c:pt idx="40">
                        <c:v>6.7964318821924019</c:v>
                      </c:pt>
                      <c:pt idx="41">
                        <c:v>6.4419851898442033</c:v>
                      </c:pt>
                      <c:pt idx="42">
                        <c:v>6.4106200065022279</c:v>
                      </c:pt>
                      <c:pt idx="43">
                        <c:v>6.4364638168267305</c:v>
                      </c:pt>
                      <c:pt idx="44">
                        <c:v>6.0990505486929365</c:v>
                      </c:pt>
                      <c:pt idx="45">
                        <c:v>5.8757444575037905</c:v>
                      </c:pt>
                      <c:pt idx="46">
                        <c:v>5.450661546191248</c:v>
                      </c:pt>
                      <c:pt idx="47">
                        <c:v>5.1088905610919779</c:v>
                      </c:pt>
                      <c:pt idx="48">
                        <c:v>4.6849144680769648</c:v>
                      </c:pt>
                      <c:pt idx="49">
                        <c:v>4.3511603099436202</c:v>
                      </c:pt>
                      <c:pt idx="50">
                        <c:v>3.9881554873546476</c:v>
                      </c:pt>
                      <c:pt idx="51">
                        <c:v>3.6409628413740203</c:v>
                      </c:pt>
                      <c:pt idx="52">
                        <c:v>3.3303557859594544</c:v>
                      </c:pt>
                      <c:pt idx="53">
                        <c:v>3.3303557859594544</c:v>
                      </c:pt>
                      <c:pt idx="54">
                        <c:v>3.3303557859594544</c:v>
                      </c:pt>
                      <c:pt idx="55">
                        <c:v>3.3303557859594544</c:v>
                      </c:pt>
                      <c:pt idx="56">
                        <c:v>3.3303557859594544</c:v>
                      </c:pt>
                      <c:pt idx="57">
                        <c:v>3.3303557859594544</c:v>
                      </c:pt>
                      <c:pt idx="58">
                        <c:v>3.3303557859594544</c:v>
                      </c:pt>
                      <c:pt idx="59">
                        <c:v>3.3303557859594544</c:v>
                      </c:pt>
                      <c:pt idx="60">
                        <c:v>3.3303557859594544</c:v>
                      </c:pt>
                      <c:pt idx="61">
                        <c:v>3.3303557859594544</c:v>
                      </c:pt>
                      <c:pt idx="62">
                        <c:v>3.3303557859594544</c:v>
                      </c:pt>
                      <c:pt idx="63">
                        <c:v>3.3303557859594544</c:v>
                      </c:pt>
                      <c:pt idx="64">
                        <c:v>3.3303557859594544</c:v>
                      </c:pt>
                      <c:pt idx="65">
                        <c:v>3.3303557859594544</c:v>
                      </c:pt>
                      <c:pt idx="66">
                        <c:v>3.3303557859594544</c:v>
                      </c:pt>
                      <c:pt idx="67">
                        <c:v>3.3303557859594544</c:v>
                      </c:pt>
                      <c:pt idx="68">
                        <c:v>3.3303557859594544</c:v>
                      </c:pt>
                      <c:pt idx="69">
                        <c:v>3.3303557859594544</c:v>
                      </c:pt>
                      <c:pt idx="70">
                        <c:v>3.3303557859594544</c:v>
                      </c:pt>
                      <c:pt idx="71">
                        <c:v>3.3303557859594544</c:v>
                      </c:pt>
                      <c:pt idx="72">
                        <c:v>3.3303557859594544</c:v>
                      </c:pt>
                      <c:pt idx="73">
                        <c:v>3.3303557859594544</c:v>
                      </c:pt>
                      <c:pt idx="74">
                        <c:v>3.3303557859594544</c:v>
                      </c:pt>
                      <c:pt idx="75">
                        <c:v>3.3303557859594544</c:v>
                      </c:pt>
                      <c:pt idx="76">
                        <c:v>3.3303557859594544</c:v>
                      </c:pt>
                      <c:pt idx="77">
                        <c:v>3.3303557859594544</c:v>
                      </c:pt>
                      <c:pt idx="78">
                        <c:v>3.3303557859594544</c:v>
                      </c:pt>
                      <c:pt idx="79">
                        <c:v>3.3303557859594544</c:v>
                      </c:pt>
                      <c:pt idx="80">
                        <c:v>3.3303557859594544</c:v>
                      </c:pt>
                      <c:pt idx="81">
                        <c:v>3.3303557859594544</c:v>
                      </c:pt>
                      <c:pt idx="82">
                        <c:v>3.3303557859594544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7-7091-4337-B132-4EE252425419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Carbon Dioxide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'Scenario 57-40%'!$C$7</c:f>
              <c:strCache>
                <c:ptCount val="1"/>
                <c:pt idx="0">
                  <c:v>CO2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939A7BC-0D96-44F8-A05B-6A5E310C1BBD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85B-4364-B8EC-ECDEEF5731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B-4364-B8EC-ECDEEF5731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B-4364-B8EC-ECDEEF5731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B-4364-B8EC-ECDEEF5731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5B-4364-B8EC-ECDEEF5731B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B-4364-B8EC-ECDEEF5731B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5B-4364-B8EC-ECDEEF5731B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B-4364-B8EC-ECDEEF5731B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5B-4364-B8EC-ECDEEF5731B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5B-4364-B8EC-ECDEEF5731B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5B-4364-B8EC-ECDEEF5731B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5B-4364-B8EC-ECDEEF5731B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66CC422-4B73-4759-A75D-CD7923E10CA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785B-4364-B8EC-ECDEEF5731B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0FB8C28-A8F5-4C74-885D-FD4DBBB14E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85B-4364-B8EC-ECDEEF5731B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942A374-6246-43D4-8799-FD7C6AB182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85B-4364-B8EC-ECDEEF5731B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0ECA661-E626-455D-8805-5D236D3383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85B-4364-B8EC-ECDEEF5731B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315DAB0-ACB6-40F6-974C-18FE824CBB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85B-4364-B8EC-ECDEEF5731B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6C249C3-13D6-4ADE-816E-FB7C6EAC0D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85B-4364-B8EC-ECDEEF5731B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C9A6CE2-362D-4AF0-ABCE-905FF88A38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85B-4364-B8EC-ECDEEF5731B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59EAF5A-DFC5-418C-B713-481FFCB21C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85B-4364-B8EC-ECDEEF5731B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A25B9E4-6435-448C-9D74-09B42684F93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85B-4364-B8EC-ECDEEF5731B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C4FE898-C1E0-48F9-BAA8-219AB6110C2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85B-4364-B8EC-ECDEEF5731B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0732C79-BF24-4B99-8BD0-1FDFC0189F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85B-4364-B8EC-ECDEEF5731B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CA2F610-6900-43FC-A522-9456F658CB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85B-4364-B8EC-ECDEEF5731B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6AE43D4-5BDD-453D-BD68-7E386B7F50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85B-4364-B8EC-ECDEEF5731B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D8DB2C8-1874-41D2-B264-741F4E2A87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85B-4364-B8EC-ECDEEF5731B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18B2C53-5AF9-4288-8140-85A7BF7708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85B-4364-B8EC-ECDEEF5731B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A716F5A-AEDF-489B-9D15-DCABBACCE3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85B-4364-B8EC-ECDEEF5731B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B923962-0E80-4B7B-B448-4C097A610AA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85B-4364-B8EC-ECDEEF5731B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D8275B7-EF98-498A-842E-4E7DD5A59C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85B-4364-B8EC-ECDEEF5731B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D8130FB-86E8-4085-A712-7B604B4282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85B-4364-B8EC-ECDEEF5731B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D8275258-82A5-4507-A59C-DF619D4789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85B-4364-B8EC-ECDEEF5731B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BC10F47-1954-4461-89C4-EA807C03F6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85B-4364-B8EC-ECDEEF5731B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F859B31C-BA16-415D-9D53-8038480777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85B-4364-B8EC-ECDEEF5731B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1F85C9B-0F97-4F26-9FF9-AD193CC6E2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85B-4364-B8EC-ECDEEF5731B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567DCE2-C520-431D-AC1D-B9563CA5D3E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85B-4364-B8EC-ECDEEF5731B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5A5291C-8252-424F-8712-6EF64DB8DB9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85B-4364-B8EC-ECDEEF5731B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53BE123-4779-48C2-8366-3C6B5D469F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85B-4364-B8EC-ECDEEF5731B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A4A78713-364B-43C2-9776-863EF4A2CD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85B-4364-B8EC-ECDEEF5731B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D01BE699-6DCA-46D8-A766-BFD5558B43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85B-4364-B8EC-ECDEEF5731B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4A713DE-92BB-4DA7-9CFE-73A7763E56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85B-4364-B8EC-ECDEEF5731B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C08B93F-6D90-4542-BFF3-BAFAC72095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85B-4364-B8EC-ECDEEF5731B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4210AFF-5208-47EC-A757-52E96EFB5B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85B-4364-B8EC-ECDEEF5731B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44A90BD-FF0B-4C34-A867-F028268CFF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785B-4364-B8EC-ECDEEF5731B1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AF142DB-D35A-4B07-9EAF-6AD7EEDDADC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785B-4364-B8EC-ECDEEF5731B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CDC32BA-B213-4A64-B329-5EF5990BA42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785B-4364-B8EC-ECDEEF5731B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4C86CA6B-66A9-4276-A30B-15B2F7A573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785B-4364-B8EC-ECDEEF5731B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6474FB14-B775-4035-BC7C-FF89009D95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785B-4364-B8EC-ECDEEF5731B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3329D396-2115-4830-AEEE-CD26AAA34A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785B-4364-B8EC-ECDEEF5731B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A67B063C-0B3C-4798-A0BE-3CC2D72FBB8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785B-4364-B8EC-ECDEEF5731B1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3FEDDE3E-198B-460A-A3C2-9519B7FFCF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785B-4364-B8EC-ECDEEF5731B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0A181C8D-5364-47C1-81B5-8D156147060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785B-4364-B8EC-ECDEEF5731B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0A31E0E2-D5F1-4A9A-8B43-BE2C1441909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785B-4364-B8EC-ECDEEF5731B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96C9490D-F3A5-4AA4-B252-E51F8569BF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785B-4364-B8EC-ECDEEF5731B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E79940B6-0D22-48EC-9A97-4DADA4D454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785B-4364-B8EC-ECDEEF5731B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A221383E-AE6C-4FE1-9CF0-461FDAE1530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785B-4364-B8EC-ECDEEF5731B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A4DBD2CC-30D4-4866-B9CA-F3F098E5CDA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785B-4364-B8EC-ECDEEF5731B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7FB62275-44B2-4EB9-BD72-F2AC40EEECB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785B-4364-B8EC-ECDEEF5731B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4EE014C7-32B7-4E1C-B9B8-79E4DE4B6F7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785B-4364-B8EC-ECDEEF5731B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7B6DA76D-2AEB-4E62-9B8B-2DBA2D8C64D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785B-4364-B8EC-ECDEEF5731B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40FFC28E-ADE4-4D6D-BE05-91295C9A21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785B-4364-B8EC-ECDEEF5731B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D25B905C-7128-4DD4-B333-7C1AB330B2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785B-4364-B8EC-ECDEEF5731B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0DEFABA6-F0DE-48F4-A8CA-AF256FDB31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785B-4364-B8EC-ECDEEF5731B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43D38234-45DA-4E00-A123-5C666D1B690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785B-4364-B8EC-ECDEEF5731B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7F3966C9-7B0B-4530-A96F-7D567C69A31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785B-4364-B8EC-ECDEEF5731B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0F0AA405-B5E9-4AE4-AA8E-D73B11555C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785B-4364-B8EC-ECDEEF5731B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DA3A481-BAF2-4121-AD9A-3EB1E640BA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785B-4364-B8EC-ECDEEF5731B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158E050E-561A-47CC-80E3-2B90FB0CDD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785B-4364-B8EC-ECDEEF5731B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806410F0-50C9-4FA1-88AA-C0BA9176DF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785B-4364-B8EC-ECDEEF5731B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8FBD556A-50CB-4A49-AA00-FC9829C82F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785B-4364-B8EC-ECDEEF5731B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3CE57121-57D5-4E85-A4A8-26DCB237FA9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785B-4364-B8EC-ECDEEF5731B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C249ECD4-04CC-4C24-8937-FE20752CF7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785B-4364-B8EC-ECDEEF5731B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73E6CB91-F0EB-4AC0-A167-A98C688E46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785B-4364-B8EC-ECDEEF5731B1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5250CF11-7B70-4BDD-B22B-04AD6CA5FD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785B-4364-B8EC-ECDEEF5731B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42B433B7-1A20-4152-ACB7-75F5F8BF63F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785B-4364-B8EC-ECDEEF5731B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036E41B3-3C7C-466E-99BE-D7C4DE68AA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785B-4364-B8EC-ECDEEF5731B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538AE46A-4EF0-4439-BA08-8C3E3B90D6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785B-4364-B8EC-ECDEEF5731B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F3D91CB4-5990-4369-A277-D5517B22BD4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785B-4364-B8EC-ECDEEF5731B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8DEFF41E-E6B2-48FD-A1A5-F79460A5C4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785B-4364-B8EC-ECDEEF5731B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1506A090-8AA6-458F-8344-B1E0318D7F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785B-4364-B8EC-ECDEEF5731B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115C09B0-5178-4135-9DD6-6829C4A26F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785B-4364-B8EC-ECDEEF5731B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19E69CE1-7FE5-42D7-9E32-C733A00D271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785B-4364-B8EC-ECDEEF5731B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8CB37179-7F33-4DDE-A866-5A0A1DC683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785B-4364-B8EC-ECDEEF5731B1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785B-4364-B8EC-ECDEEF5731B1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785B-4364-B8EC-ECDEEF5731B1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785B-4364-B8EC-ECDEEF5731B1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785B-4364-B8EC-ECDEEF5731B1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785B-4364-B8EC-ECDEEF5731B1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785B-4364-B8EC-ECDEEF5731B1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785B-4364-B8EC-ECDEEF5731B1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785B-4364-B8EC-ECDEEF5731B1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785B-4364-B8EC-ECDEEF5731B1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785B-4364-B8EC-ECDEEF5731B1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785B-4364-B8EC-ECDEEF5731B1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785B-4364-B8EC-ECDEEF5731B1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785B-4364-B8EC-ECDEEF5731B1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785B-4364-B8EC-ECDEEF5731B1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785B-4364-B8EC-ECDEEF5731B1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785B-4364-B8EC-ECDEEF5731B1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785B-4364-B8EC-ECDEEF5731B1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785B-4364-B8EC-ECDEEF5731B1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785B-4364-B8EC-ECDEEF5731B1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785B-4364-B8EC-ECDEEF5731B1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85B-4364-B8EC-ECDEEF5731B1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85B-4364-B8EC-ECDEEF5731B1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85B-4364-B8EC-ECDEEF5731B1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785B-4364-B8EC-ECDEEF5731B1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85B-4364-B8EC-ECDEEF5731B1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785B-4364-B8EC-ECDEEF5731B1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785B-4364-B8EC-ECDEEF5731B1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785B-4364-B8EC-ECDEEF5731B1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785B-4364-B8EC-ECDEEF5731B1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785B-4364-B8EC-ECDEEF5731B1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785B-4364-B8EC-ECDEEF5731B1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785B-4364-B8EC-ECDEEF5731B1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785B-4364-B8EC-ECDEEF5731B1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785B-4364-B8EC-ECDEEF5731B1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785B-4364-B8EC-ECDEEF5731B1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785B-4364-B8EC-ECDEEF5731B1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785B-4364-B8EC-ECDEEF5731B1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785B-4364-B8EC-ECDEEF5731B1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785B-4364-B8EC-ECDEEF5731B1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785B-4364-B8EC-ECDEEF573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'Scenario 57-40%'!$B$8:$B$130</c:f>
              <c:numCache>
                <c:formatCode>General</c:formatCode>
                <c:ptCount val="12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57-40%'!$C$8:$C$130</c:f>
              <c:numCache>
                <c:formatCode>0.0</c:formatCode>
                <c:ptCount val="12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 formatCode="0.00">
                  <c:v>42.847003375390081</c:v>
                </c:pt>
                <c:pt idx="42" formatCode="0.00">
                  <c:v>37.397075829274357</c:v>
                </c:pt>
                <c:pt idx="43" formatCode="0.00">
                  <c:v>39.44333324417066</c:v>
                </c:pt>
                <c:pt idx="44" formatCode="0.00">
                  <c:v>39.791121384432152</c:v>
                </c:pt>
                <c:pt idx="45" formatCode="0.00">
                  <c:v>40.468275334231322</c:v>
                </c:pt>
                <c:pt idx="46" formatCode="0.00">
                  <c:v>35.868720985882703</c:v>
                </c:pt>
                <c:pt idx="47" formatCode="0.00">
                  <c:v>32.556433407540545</c:v>
                </c:pt>
                <c:pt idx="48" formatCode="0.00">
                  <c:v>28.609033574713234</c:v>
                </c:pt>
                <c:pt idx="49" formatCode="0.00">
                  <c:v>25.964462362916588</c:v>
                </c:pt>
                <c:pt idx="50" formatCode="0.00">
                  <c:v>23.23245495447069</c:v>
                </c:pt>
                <c:pt idx="51" formatCode="0.00">
                  <c:v>20.902778020767197</c:v>
                </c:pt>
                <c:pt idx="52" formatCode="0.00">
                  <c:v>19.191011235625513</c:v>
                </c:pt>
                <c:pt idx="53">
                  <c:v>18.231460673844232</c:v>
                </c:pt>
                <c:pt idx="54">
                  <c:v>17.271910112062958</c:v>
                </c:pt>
                <c:pt idx="55">
                  <c:v>16.312359550281691</c:v>
                </c:pt>
                <c:pt idx="56">
                  <c:v>15.352808988500405</c:v>
                </c:pt>
                <c:pt idx="57">
                  <c:v>14.393258426719131</c:v>
                </c:pt>
                <c:pt idx="58">
                  <c:v>13.433707864937857</c:v>
                </c:pt>
                <c:pt idx="59">
                  <c:v>12.474157303156582</c:v>
                </c:pt>
                <c:pt idx="60">
                  <c:v>11.514606741375308</c:v>
                </c:pt>
                <c:pt idx="61">
                  <c:v>10.555056179594027</c:v>
                </c:pt>
                <c:pt idx="62">
                  <c:v>9.595505617812746</c:v>
                </c:pt>
                <c:pt idx="63">
                  <c:v>8.6359550560314755</c:v>
                </c:pt>
                <c:pt idx="64">
                  <c:v>7.6764044942502014</c:v>
                </c:pt>
                <c:pt idx="65">
                  <c:v>6.7168539324689203</c:v>
                </c:pt>
                <c:pt idx="66">
                  <c:v>5.7573033706876462</c:v>
                </c:pt>
                <c:pt idx="67">
                  <c:v>4.7977528089063748</c:v>
                </c:pt>
                <c:pt idx="68">
                  <c:v>3.8382022471251056</c:v>
                </c:pt>
                <c:pt idx="69">
                  <c:v>2.8786516853438182</c:v>
                </c:pt>
                <c:pt idx="70">
                  <c:v>1.9191011235625475</c:v>
                </c:pt>
                <c:pt idx="71">
                  <c:v>0.95955056178127618</c:v>
                </c:pt>
                <c:pt idx="72">
                  <c:v>2.1382833571495492E-15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57-40%'!$P$8:$P$130</c15:f>
                <c15:dlblRangeCache>
                  <c:ptCount val="123"/>
                  <c:pt idx="42">
                    <c:v>15%</c:v>
                  </c:pt>
                  <c:pt idx="47">
                    <c:v>26%</c:v>
                  </c:pt>
                  <c:pt idx="52">
                    <c:v>56%</c:v>
                  </c:pt>
                  <c:pt idx="62">
                    <c:v>78%</c:v>
                  </c:pt>
                  <c:pt idx="72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785B-4364-B8EC-ECDEEF573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'Scenario 57-40%'!$D$7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57-40%'!$B$8:$B$130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57-40%'!$D$8:$D$130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0.58129901066215994</c:v>
                      </c:pt>
                      <c:pt idx="45">
                        <c:v>0.56157035102336328</c:v>
                      </c:pt>
                      <c:pt idx="46">
                        <c:v>0.53130858935696113</c:v>
                      </c:pt>
                      <c:pt idx="47">
                        <c:v>0.5053958555837732</c:v>
                      </c:pt>
                      <c:pt idx="48">
                        <c:v>0.47519187176344252</c:v>
                      </c:pt>
                      <c:pt idx="49">
                        <c:v>0.44969763034392596</c:v>
                      </c:pt>
                      <c:pt idx="50">
                        <c:v>0.42267645320950437</c:v>
                      </c:pt>
                      <c:pt idx="51">
                        <c:v>0.39648069927975194</c:v>
                      </c:pt>
                      <c:pt idx="52">
                        <c:v>0.37219477700428399</c:v>
                      </c:pt>
                      <c:pt idx="53">
                        <c:v>0.37219477700428399</c:v>
                      </c:pt>
                      <c:pt idx="54">
                        <c:v>0.37219477700428399</c:v>
                      </c:pt>
                      <c:pt idx="55">
                        <c:v>0.37219477700428399</c:v>
                      </c:pt>
                      <c:pt idx="56">
                        <c:v>0.37219477700428399</c:v>
                      </c:pt>
                      <c:pt idx="57">
                        <c:v>0.37219477700428399</c:v>
                      </c:pt>
                      <c:pt idx="58">
                        <c:v>0.37219477700428399</c:v>
                      </c:pt>
                      <c:pt idx="59">
                        <c:v>0.37219477700428399</c:v>
                      </c:pt>
                      <c:pt idx="60">
                        <c:v>0.37219477700428399</c:v>
                      </c:pt>
                      <c:pt idx="61">
                        <c:v>0.37219477700428399</c:v>
                      </c:pt>
                      <c:pt idx="62">
                        <c:v>0.37219477700428399</c:v>
                      </c:pt>
                      <c:pt idx="63">
                        <c:v>0.37219477700428399</c:v>
                      </c:pt>
                      <c:pt idx="64">
                        <c:v>0.37219477700428399</c:v>
                      </c:pt>
                      <c:pt idx="65">
                        <c:v>0.37219477700428399</c:v>
                      </c:pt>
                      <c:pt idx="66">
                        <c:v>0.37219477700428399</c:v>
                      </c:pt>
                      <c:pt idx="67">
                        <c:v>0.37219477700428399</c:v>
                      </c:pt>
                      <c:pt idx="68">
                        <c:v>0.37219477700428399</c:v>
                      </c:pt>
                      <c:pt idx="69">
                        <c:v>0.37219477700428399</c:v>
                      </c:pt>
                      <c:pt idx="70">
                        <c:v>0.37219477700428399</c:v>
                      </c:pt>
                      <c:pt idx="71">
                        <c:v>0.37219477700428399</c:v>
                      </c:pt>
                      <c:pt idx="72">
                        <c:v>0.37219477700428399</c:v>
                      </c:pt>
                      <c:pt idx="73">
                        <c:v>0.37219477700428399</c:v>
                      </c:pt>
                      <c:pt idx="74">
                        <c:v>0.37219477700428399</c:v>
                      </c:pt>
                      <c:pt idx="75">
                        <c:v>0.37219477700428399</c:v>
                      </c:pt>
                      <c:pt idx="76">
                        <c:v>0.37219477700428399</c:v>
                      </c:pt>
                      <c:pt idx="77">
                        <c:v>0.37219477700428399</c:v>
                      </c:pt>
                      <c:pt idx="78">
                        <c:v>0.37219477700428399</c:v>
                      </c:pt>
                      <c:pt idx="79">
                        <c:v>0.37219477700428399</c:v>
                      </c:pt>
                      <c:pt idx="80">
                        <c:v>0.37219477700428399</c:v>
                      </c:pt>
                      <c:pt idx="81">
                        <c:v>0.37219477700428399</c:v>
                      </c:pt>
                      <c:pt idx="82">
                        <c:v>0.37219477700428399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785B-4364-B8EC-ECDEEF5731B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57-40%'!$E$8:$E$130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2.3312798324193917E-2</c:v>
                      </c:pt>
                      <c:pt idx="45">
                        <c:v>2.2767647063927147E-2</c:v>
                      </c:pt>
                      <c:pt idx="46">
                        <c:v>2.1461073840930576E-2</c:v>
                      </c:pt>
                      <c:pt idx="47">
                        <c:v>2.0468885245153903E-2</c:v>
                      </c:pt>
                      <c:pt idx="48">
                        <c:v>1.9166488694978199E-2</c:v>
                      </c:pt>
                      <c:pt idx="49">
                        <c:v>1.8204552276431432E-2</c:v>
                      </c:pt>
                      <c:pt idx="50">
                        <c:v>1.7132235992014373E-2</c:v>
                      </c:pt>
                      <c:pt idx="51">
                        <c:v>1.6119588298572199E-2</c:v>
                      </c:pt>
                      <c:pt idx="52">
                        <c:v>1.5244999437454785E-2</c:v>
                      </c:pt>
                      <c:pt idx="53" formatCode="0.0">
                        <c:v>1.5244999437454785E-2</c:v>
                      </c:pt>
                      <c:pt idx="54" formatCode="0.0">
                        <c:v>1.5244999437454785E-2</c:v>
                      </c:pt>
                      <c:pt idx="55" formatCode="0.0">
                        <c:v>1.5244999437454785E-2</c:v>
                      </c:pt>
                      <c:pt idx="56" formatCode="0.0">
                        <c:v>1.5244999437454785E-2</c:v>
                      </c:pt>
                      <c:pt idx="57" formatCode="0.0">
                        <c:v>1.5244999437454785E-2</c:v>
                      </c:pt>
                      <c:pt idx="58" formatCode="0.0">
                        <c:v>1.5244999437454785E-2</c:v>
                      </c:pt>
                      <c:pt idx="59" formatCode="0.0">
                        <c:v>1.5244999437454785E-2</c:v>
                      </c:pt>
                      <c:pt idx="60" formatCode="0.0">
                        <c:v>1.5244999437454785E-2</c:v>
                      </c:pt>
                      <c:pt idx="61" formatCode="0.0">
                        <c:v>1.5244999437454785E-2</c:v>
                      </c:pt>
                      <c:pt idx="62" formatCode="0.0">
                        <c:v>1.5244999437454785E-2</c:v>
                      </c:pt>
                      <c:pt idx="63" formatCode="0.0">
                        <c:v>1.5244999437454785E-2</c:v>
                      </c:pt>
                      <c:pt idx="64" formatCode="0.0">
                        <c:v>1.5244999437454785E-2</c:v>
                      </c:pt>
                      <c:pt idx="65" formatCode="0.0">
                        <c:v>1.5244999437454785E-2</c:v>
                      </c:pt>
                      <c:pt idx="66" formatCode="0.0">
                        <c:v>1.5244999437454785E-2</c:v>
                      </c:pt>
                      <c:pt idx="67" formatCode="0.0">
                        <c:v>1.5244999437454785E-2</c:v>
                      </c:pt>
                      <c:pt idx="68" formatCode="0.0">
                        <c:v>1.5244999437454785E-2</c:v>
                      </c:pt>
                      <c:pt idx="69" formatCode="0.0">
                        <c:v>1.5244999437454785E-2</c:v>
                      </c:pt>
                      <c:pt idx="70" formatCode="0.0">
                        <c:v>1.5244999437454785E-2</c:v>
                      </c:pt>
                      <c:pt idx="71" formatCode="0.0">
                        <c:v>1.5244999437454785E-2</c:v>
                      </c:pt>
                      <c:pt idx="72" formatCode="0.0">
                        <c:v>1.5244999437454785E-2</c:v>
                      </c:pt>
                      <c:pt idx="73" formatCode="0.0">
                        <c:v>1.5244999437454785E-2</c:v>
                      </c:pt>
                      <c:pt idx="74" formatCode="0.0">
                        <c:v>1.5244999437454785E-2</c:v>
                      </c:pt>
                      <c:pt idx="75" formatCode="0.0">
                        <c:v>1.5244999437454785E-2</c:v>
                      </c:pt>
                      <c:pt idx="76" formatCode="0.0">
                        <c:v>1.5244999437454785E-2</c:v>
                      </c:pt>
                      <c:pt idx="77" formatCode="0.0">
                        <c:v>1.5244999437454785E-2</c:v>
                      </c:pt>
                      <c:pt idx="78" formatCode="0.0">
                        <c:v>1.5244999437454785E-2</c:v>
                      </c:pt>
                      <c:pt idx="79" formatCode="0.0">
                        <c:v>1.5244999437454785E-2</c:v>
                      </c:pt>
                      <c:pt idx="80" formatCode="0.0">
                        <c:v>1.5244999437454785E-2</c:v>
                      </c:pt>
                      <c:pt idx="81" formatCode="0.0">
                        <c:v>1.5244999437454785E-2</c:v>
                      </c:pt>
                      <c:pt idx="82" formatCode="0.0">
                        <c:v>1.5244999437454785E-2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785B-4364-B8EC-ECDEEF5731B1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Methane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'Scenario 57-40%'!$D$7</c:f>
              <c:strCache>
                <c:ptCount val="1"/>
                <c:pt idx="0">
                  <c:v>CH4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F2822A3-EB10-4AB2-AA33-C3385CEFC74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DA7-4CC7-BF25-131A79EC66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7-4CC7-BF25-131A79EC667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7-4CC7-BF25-131A79EC66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7-4CC7-BF25-131A79EC667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A7-4CC7-BF25-131A79EC667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A7-4CC7-BF25-131A79EC667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A7-4CC7-BF25-131A79EC667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A7-4CC7-BF25-131A79EC667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A7-4CC7-BF25-131A79EC667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A7-4CC7-BF25-131A79EC667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A7-4CC7-BF25-131A79EC667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A7-4CC7-BF25-131A79EC667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B8CB6D9-C597-41E8-B984-F2D05A6E1457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A7-4CC7-BF25-131A79EC667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67A12DA-8D49-4283-9A81-AC97D0E312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DA7-4CC7-BF25-131A79EC667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6FCAA35-565D-4640-989E-A81F0532CF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DA7-4CC7-BF25-131A79EC667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11D00F0-C72B-40E5-AEC6-47238C29D8F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DA7-4CC7-BF25-131A79EC667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64172B5-3A52-4A09-8844-F94D71ACD9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DA7-4CC7-BF25-131A79EC667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A4305F7-36B2-42AF-9D2A-D42797B02D6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DA7-4CC7-BF25-131A79EC667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F662CAB-4E01-4091-B2A8-107F3696DD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DA7-4CC7-BF25-131A79EC667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4128499-931A-4994-9520-F7D6476AABA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DA7-4CC7-BF25-131A79EC667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6BB9C36-624F-4CB5-9A67-A598F7D6B5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DA7-4CC7-BF25-131A79EC667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4180D5B-4DD2-43D8-8D28-D5E588DFD68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DA7-4CC7-BF25-131A79EC667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FA8DD03-B61A-46BB-BFC5-0B5CE0E5C6C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DA7-4CC7-BF25-131A79EC667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CD0E61E-F474-49B4-B9B4-A12EBD7585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DA7-4CC7-BF25-131A79EC667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3EBC576-02FD-457C-BC5E-35E3A2686E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DA7-4CC7-BF25-131A79EC667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5096A66-C18D-4D12-83F0-CC56A40DAF0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DA7-4CC7-BF25-131A79EC667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8746DF8-A3B7-4A81-8282-5087653251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DA7-4CC7-BF25-131A79EC667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F2953970-514F-4B23-9AA6-049130F1AF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DA7-4CC7-BF25-131A79EC667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EA38F36-E5F9-4E4B-B39A-557BBAD5006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DA7-4CC7-BF25-131A79EC667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358E6297-880C-4699-8148-C5020B0186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DA7-4CC7-BF25-131A79EC667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849F203-C9B9-4317-A88B-F24CDF9865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DA7-4CC7-BF25-131A79EC667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29EA793-6C88-4AA8-9B68-6A3D9895C14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DA7-4CC7-BF25-131A79EC667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D122612-82BC-45C4-895C-5A89AC347D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DA7-4CC7-BF25-131A79EC667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58B9C43-0145-4FD2-9295-2EFEFACBF36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DA7-4CC7-BF25-131A79EC667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5A82E2B-2923-4B3F-AA85-BEA2145BD6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DA7-4CC7-BF25-131A79EC667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A84FA8D-6136-4B0C-9A97-5DB17EC9AB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DA7-4CC7-BF25-131A79EC667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4162151-5B70-473C-B20A-C36E2D40BB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DA7-4CC7-BF25-131A79EC667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D2D5427C-FC7B-46FB-80A1-A9DD5DD1DF5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DA7-4CC7-BF25-131A79EC667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7E4DDFAE-6E24-4298-BF07-C778759E27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DA7-4CC7-BF25-131A79EC667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CE4DA1B8-ACA8-4E81-8012-14331A96C79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DA7-4CC7-BF25-131A79EC667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EE5589C-7036-4C6E-B3A4-8C90AD5358E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DA7-4CC7-BF25-131A79EC667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DE8CBDA-7A1E-4A31-A478-E0E1DA2B5B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DA7-4CC7-BF25-131A79EC667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FB689B5-1052-4B34-8297-E31C402A367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DA7-4CC7-BF25-131A79EC667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7FCFD76A-88D9-43C8-B0BD-53B26906BA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DA7-4CC7-BF25-131A79EC667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84D3820-097D-4BEF-9BC1-05D84FE278B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DA7-4CC7-BF25-131A79EC667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46D428A-650B-42F2-BFC7-C3895119B5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DA7-4CC7-BF25-131A79EC667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56A2926-D900-434E-AB96-77FDD176AAD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9DA7-4CC7-BF25-131A79EC667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01A60319-7124-4EAE-AA25-2BD7EA417DB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9DA7-4CC7-BF25-131A79EC667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219265FF-4344-451D-A282-DFEF6BD266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9DA7-4CC7-BF25-131A79EC6675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3F894D12-B5D2-41BB-A012-490222BA2B1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9DA7-4CC7-BF25-131A79EC667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C825681A-0FCC-44D7-8F41-84DBCB0A0A6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9DA7-4CC7-BF25-131A79EC6675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97DE71E7-178F-4EC0-92F9-3684A61B61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9DA7-4CC7-BF25-131A79EC6675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7232D811-6F44-4556-927B-D69C35CF932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9DA7-4CC7-BF25-131A79EC6675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F683C5E-97AD-4613-BD44-DD5DEAD3CE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9DA7-4CC7-BF25-131A79EC6675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1A047988-4BBA-4040-9A07-C93E05F955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9DA7-4CC7-BF25-131A79EC6675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73108D68-6623-4392-A323-493D2699B0B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9DA7-4CC7-BF25-131A79EC6675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012E5EC4-EE5B-464D-AB80-B34B8069EB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9DA7-4CC7-BF25-131A79EC6675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A05F5A2-AA49-4DE5-B7A2-E6A7F5EF6A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9DA7-4CC7-BF25-131A79EC6675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CF80AAEF-B01A-434E-BAB3-B66383B624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9DA7-4CC7-BF25-131A79EC6675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90F3E651-B0C3-4BA4-A766-0E6CDED1FF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9DA7-4CC7-BF25-131A79EC6675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48B83CB3-4573-4A91-A606-CDBC99E12C2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9DA7-4CC7-BF25-131A79EC6675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1E969309-D5E8-49A0-8236-D79CB9DD9CC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9DA7-4CC7-BF25-131A79EC6675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E0996A5B-CF4B-429E-BC7C-16BD7645BF3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9DA7-4CC7-BF25-131A79EC6675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71CCADCC-FEB8-4195-9BDE-3B64DECD6E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9DA7-4CC7-BF25-131A79EC6675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40E70FFC-6CA9-4BCC-A505-77B3F8822F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9DA7-4CC7-BF25-131A79EC6675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6870BB0C-22C6-457D-84C6-2530F913629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9DA7-4CC7-BF25-131A79EC6675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88C89FF8-5560-4E24-BDA7-EB10663134B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9DA7-4CC7-BF25-131A79EC6675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AEAAE7C9-8FBA-4F79-8BFA-B1B31D364A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9DA7-4CC7-BF25-131A79EC6675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E98F829-4EDE-4ADC-84EA-D7A65EA8A9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9DA7-4CC7-BF25-131A79EC6675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2ADDD9F6-6271-45F0-A1D8-9D38EEA4FA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9DA7-4CC7-BF25-131A79EC6675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75003A4B-1A52-4CB6-B78A-85D7F656B87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9DA7-4CC7-BF25-131A79EC6675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A5DB3BE9-4206-4B1B-A834-1C5C86D961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9DA7-4CC7-BF25-131A79EC6675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24E0DFB9-B06E-4BD5-95C0-0CE783A46E7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9DA7-4CC7-BF25-131A79EC6675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C70EE746-C1AF-4D2F-AD72-F26447E6C4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9DA7-4CC7-BF25-131A79EC6675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624193DF-2F05-4ED9-89CE-CC95A3D0CB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9DA7-4CC7-BF25-131A79EC6675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AC1F5B09-1836-4BA0-A9C0-E106CC6C17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9DA7-4CC7-BF25-131A79EC6675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0C89FA21-6244-41E5-9014-AF3145E7D4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9DA7-4CC7-BF25-131A79EC6675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A7FFC1D9-1248-4769-8448-E708F649D8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9DA7-4CC7-BF25-131A79EC6675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B91BD8AA-4FF4-43AF-AC30-6FCA16D5A6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9DA7-4CC7-BF25-131A79EC6675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9A6BB0C1-202C-49CD-9F28-66FE4E8CF6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9DA7-4CC7-BF25-131A79EC6675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273FDFFA-115C-4769-A71D-029F725BDA0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9DA7-4CC7-BF25-131A79EC6675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27A48C80-5F10-449A-B14A-9D6A2C81462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9DA7-4CC7-BF25-131A79EC6675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BE6C5C1C-614A-4DBC-84E8-1833431291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9DA7-4CC7-BF25-131A79EC6675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9DA7-4CC7-BF25-131A79EC6675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DA7-4CC7-BF25-131A79EC6675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DA7-4CC7-BF25-131A79EC6675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DA7-4CC7-BF25-131A79EC6675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9DA7-4CC7-BF25-131A79EC6675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9DA7-4CC7-BF25-131A79EC6675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9DA7-4CC7-BF25-131A79EC6675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9DA7-4CC7-BF25-131A79EC6675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9DA7-4CC7-BF25-131A79EC6675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9DA7-4CC7-BF25-131A79EC6675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9DA7-4CC7-BF25-131A79EC6675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DA7-4CC7-BF25-131A79EC6675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9DA7-4CC7-BF25-131A79EC6675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DA7-4CC7-BF25-131A79EC6675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DA7-4CC7-BF25-131A79EC6675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DA7-4CC7-BF25-131A79EC6675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DA7-4CC7-BF25-131A79EC6675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9DA7-4CC7-BF25-131A79EC6675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DA7-4CC7-BF25-131A79EC6675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9DA7-4CC7-BF25-131A79EC6675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9DA7-4CC7-BF25-131A79EC6675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9DA7-4CC7-BF25-131A79EC6675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9DA7-4CC7-BF25-131A79EC6675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9DA7-4CC7-BF25-131A79EC6675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9DA7-4CC7-BF25-131A79EC6675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9DA7-4CC7-BF25-131A79EC6675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9DA7-4CC7-BF25-131A79EC6675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9DA7-4CC7-BF25-131A79EC6675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9DA7-4CC7-BF25-131A79EC6675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9DA7-4CC7-BF25-131A79EC6675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9DA7-4CC7-BF25-131A79EC6675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9DA7-4CC7-BF25-131A79EC6675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9DA7-4CC7-BF25-131A79EC6675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9DA7-4CC7-BF25-131A79EC6675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9DA7-4CC7-BF25-131A79EC6675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9DA7-4CC7-BF25-131A79EC6675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9DA7-4CC7-BF25-131A79EC6675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9DA7-4CC7-BF25-131A79EC6675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9DA7-4CC7-BF25-131A79EC6675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9DA7-4CC7-BF25-131A79EC66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57-40%'!$B$8:$B$130</c:f>
              <c:numCache>
                <c:formatCode>General</c:formatCode>
                <c:ptCount val="12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57-40%'!$D$8:$D$130</c:f>
              <c:numCache>
                <c:formatCode>0.00</c:formatCode>
                <c:ptCount val="123"/>
                <c:pt idx="12">
                  <c:v>0.56846617435307711</c:v>
                </c:pt>
                <c:pt idx="13">
                  <c:v>0.57899497527056076</c:v>
                </c:pt>
                <c:pt idx="14">
                  <c:v>0.58638316837148285</c:v>
                </c:pt>
                <c:pt idx="15">
                  <c:v>0.59483377727766906</c:v>
                </c:pt>
                <c:pt idx="16">
                  <c:v>0.59526602098909942</c:v>
                </c:pt>
                <c:pt idx="17">
                  <c:v>0.60059169683666336</c:v>
                </c:pt>
                <c:pt idx="18">
                  <c:v>0.61511089079967096</c:v>
                </c:pt>
                <c:pt idx="19">
                  <c:v>0.61488733682276098</c:v>
                </c:pt>
                <c:pt idx="20">
                  <c:v>0.62689098869315008</c:v>
                </c:pt>
                <c:pt idx="21">
                  <c:v>0.60985790475145341</c:v>
                </c:pt>
                <c:pt idx="22">
                  <c:v>0.59281659514673379</c:v>
                </c:pt>
                <c:pt idx="23">
                  <c:v>0.60653930034350212</c:v>
                </c:pt>
                <c:pt idx="24">
                  <c:v>0.59584131612224078</c:v>
                </c:pt>
                <c:pt idx="25">
                  <c:v>0.6315771849487738</c:v>
                </c:pt>
                <c:pt idx="26">
                  <c:v>0.58670195261344882</c:v>
                </c:pt>
                <c:pt idx="27">
                  <c:v>0.57896199008081672</c:v>
                </c:pt>
                <c:pt idx="28">
                  <c:v>0.58365900940295345</c:v>
                </c:pt>
                <c:pt idx="29">
                  <c:v>0.54949163157015002</c:v>
                </c:pt>
                <c:pt idx="30">
                  <c:v>0.54327868568762094</c:v>
                </c:pt>
                <c:pt idx="31">
                  <c:v>0.52849395261365861</c:v>
                </c:pt>
                <c:pt idx="32">
                  <c:v>0.53088913019285489</c:v>
                </c:pt>
                <c:pt idx="33">
                  <c:v>0.52067847685625956</c:v>
                </c:pt>
                <c:pt idx="34">
                  <c:v>0.54122860081163016</c:v>
                </c:pt>
                <c:pt idx="35">
                  <c:v>0.55563293823158555</c:v>
                </c:pt>
                <c:pt idx="36">
                  <c:v>0.56469371673730473</c:v>
                </c:pt>
                <c:pt idx="37">
                  <c:v>0.57912274054536717</c:v>
                </c:pt>
                <c:pt idx="38">
                  <c:v>0.59326897730059025</c:v>
                </c:pt>
                <c:pt idx="39">
                  <c:v>0.62003341514735055</c:v>
                </c:pt>
                <c:pt idx="40" formatCode="0.0">
                  <c:v>0.62362502085979499</c:v>
                </c:pt>
                <c:pt idx="41">
                  <c:v>0.60727248931136102</c:v>
                </c:pt>
                <c:pt idx="42">
                  <c:v>0.60563517202162709</c:v>
                </c:pt>
                <c:pt idx="43">
                  <c:v>0.60698426400733474</c:v>
                </c:pt>
                <c:pt idx="44">
                  <c:v>0.58129901066215994</c:v>
                </c:pt>
                <c:pt idx="45">
                  <c:v>0.56157035102336328</c:v>
                </c:pt>
                <c:pt idx="46">
                  <c:v>0.53130858935696113</c:v>
                </c:pt>
                <c:pt idx="47">
                  <c:v>0.5053958555837732</c:v>
                </c:pt>
                <c:pt idx="48">
                  <c:v>0.47519187176344252</c:v>
                </c:pt>
                <c:pt idx="49">
                  <c:v>0.44969763034392596</c:v>
                </c:pt>
                <c:pt idx="50">
                  <c:v>0.42267645320950437</c:v>
                </c:pt>
                <c:pt idx="51">
                  <c:v>0.39648069927975194</c:v>
                </c:pt>
                <c:pt idx="52">
                  <c:v>0.37219477700428399</c:v>
                </c:pt>
                <c:pt idx="53">
                  <c:v>0.37219477700428399</c:v>
                </c:pt>
                <c:pt idx="54">
                  <c:v>0.37219477700428399</c:v>
                </c:pt>
                <c:pt idx="55">
                  <c:v>0.37219477700428399</c:v>
                </c:pt>
                <c:pt idx="56">
                  <c:v>0.37219477700428399</c:v>
                </c:pt>
                <c:pt idx="57">
                  <c:v>0.37219477700428399</c:v>
                </c:pt>
                <c:pt idx="58">
                  <c:v>0.37219477700428399</c:v>
                </c:pt>
                <c:pt idx="59">
                  <c:v>0.37219477700428399</c:v>
                </c:pt>
                <c:pt idx="60">
                  <c:v>0.37219477700428399</c:v>
                </c:pt>
                <c:pt idx="61">
                  <c:v>0.37219477700428399</c:v>
                </c:pt>
                <c:pt idx="62">
                  <c:v>0.37219477700428399</c:v>
                </c:pt>
                <c:pt idx="63">
                  <c:v>0.37219477700428399</c:v>
                </c:pt>
                <c:pt idx="64">
                  <c:v>0.37219477700428399</c:v>
                </c:pt>
                <c:pt idx="65">
                  <c:v>0.37219477700428399</c:v>
                </c:pt>
                <c:pt idx="66">
                  <c:v>0.37219477700428399</c:v>
                </c:pt>
                <c:pt idx="67">
                  <c:v>0.37219477700428399</c:v>
                </c:pt>
                <c:pt idx="68">
                  <c:v>0.37219477700428399</c:v>
                </c:pt>
                <c:pt idx="69">
                  <c:v>0.37219477700428399</c:v>
                </c:pt>
                <c:pt idx="70">
                  <c:v>0.37219477700428399</c:v>
                </c:pt>
                <c:pt idx="71">
                  <c:v>0.37219477700428399</c:v>
                </c:pt>
                <c:pt idx="72">
                  <c:v>0.37219477700428399</c:v>
                </c:pt>
                <c:pt idx="73">
                  <c:v>0.37219477700428399</c:v>
                </c:pt>
                <c:pt idx="74">
                  <c:v>0.37219477700428399</c:v>
                </c:pt>
                <c:pt idx="75">
                  <c:v>0.37219477700428399</c:v>
                </c:pt>
                <c:pt idx="76">
                  <c:v>0.37219477700428399</c:v>
                </c:pt>
                <c:pt idx="77">
                  <c:v>0.37219477700428399</c:v>
                </c:pt>
                <c:pt idx="78">
                  <c:v>0.37219477700428399</c:v>
                </c:pt>
                <c:pt idx="79">
                  <c:v>0.37219477700428399</c:v>
                </c:pt>
                <c:pt idx="80">
                  <c:v>0.37219477700428399</c:v>
                </c:pt>
                <c:pt idx="81">
                  <c:v>0.37219477700428399</c:v>
                </c:pt>
                <c:pt idx="82">
                  <c:v>0.37219477700428399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57-40%'!$Q$8:$Q$130</c15:f>
                <c15:dlblRangeCache>
                  <c:ptCount val="123"/>
                  <c:pt idx="42">
                    <c:v>3%</c:v>
                  </c:pt>
                  <c:pt idx="47">
                    <c:v>19%</c:v>
                  </c:pt>
                  <c:pt idx="52">
                    <c:v>40%</c:v>
                  </c:pt>
                  <c:pt idx="62">
                    <c:v>40%</c:v>
                  </c:pt>
                  <c:pt idx="72">
                    <c:v>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9DA7-4CC7-BF25-131A79EC6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57-40%'!$C$7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57-40%'!$B$8:$B$130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57-40%'!$C$8:$C$130</c15:sqref>
                        </c15:formulaRef>
                      </c:ext>
                    </c:extLst>
                    <c:numCache>
                      <c:formatCode>0.0</c:formatCode>
                      <c:ptCount val="12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39.44333324417066</c:v>
                      </c:pt>
                      <c:pt idx="44" formatCode="0.00">
                        <c:v>39.791121384432152</c:v>
                      </c:pt>
                      <c:pt idx="45" formatCode="0.00">
                        <c:v>40.468275334231322</c:v>
                      </c:pt>
                      <c:pt idx="46" formatCode="0.00">
                        <c:v>35.868720985882703</c:v>
                      </c:pt>
                      <c:pt idx="47" formatCode="0.00">
                        <c:v>32.556433407540545</c:v>
                      </c:pt>
                      <c:pt idx="48" formatCode="0.00">
                        <c:v>28.609033574713234</c:v>
                      </c:pt>
                      <c:pt idx="49" formatCode="0.00">
                        <c:v>25.964462362916588</c:v>
                      </c:pt>
                      <c:pt idx="50" formatCode="0.00">
                        <c:v>23.23245495447069</c:v>
                      </c:pt>
                      <c:pt idx="51" formatCode="0.00">
                        <c:v>20.902778020767197</c:v>
                      </c:pt>
                      <c:pt idx="52" formatCode="0.00">
                        <c:v>19.191011235625513</c:v>
                      </c:pt>
                      <c:pt idx="53">
                        <c:v>18.231460673844232</c:v>
                      </c:pt>
                      <c:pt idx="54">
                        <c:v>17.271910112062958</c:v>
                      </c:pt>
                      <c:pt idx="55">
                        <c:v>16.312359550281691</c:v>
                      </c:pt>
                      <c:pt idx="56">
                        <c:v>15.352808988500405</c:v>
                      </c:pt>
                      <c:pt idx="57">
                        <c:v>14.393258426719131</c:v>
                      </c:pt>
                      <c:pt idx="58">
                        <c:v>13.433707864937857</c:v>
                      </c:pt>
                      <c:pt idx="59">
                        <c:v>12.474157303156582</c:v>
                      </c:pt>
                      <c:pt idx="60">
                        <c:v>11.514606741375308</c:v>
                      </c:pt>
                      <c:pt idx="61">
                        <c:v>10.555056179594027</c:v>
                      </c:pt>
                      <c:pt idx="62">
                        <c:v>9.595505617812746</c:v>
                      </c:pt>
                      <c:pt idx="63">
                        <c:v>8.6359550560314755</c:v>
                      </c:pt>
                      <c:pt idx="64">
                        <c:v>7.6764044942502014</c:v>
                      </c:pt>
                      <c:pt idx="65">
                        <c:v>6.7168539324689203</c:v>
                      </c:pt>
                      <c:pt idx="66">
                        <c:v>5.7573033706876462</c:v>
                      </c:pt>
                      <c:pt idx="67">
                        <c:v>4.7977528089063748</c:v>
                      </c:pt>
                      <c:pt idx="68">
                        <c:v>3.8382022471251056</c:v>
                      </c:pt>
                      <c:pt idx="69">
                        <c:v>2.8786516853438182</c:v>
                      </c:pt>
                      <c:pt idx="70">
                        <c:v>1.9191011235625475</c:v>
                      </c:pt>
                      <c:pt idx="71">
                        <c:v>0.95955056178127618</c:v>
                      </c:pt>
                      <c:pt idx="72">
                        <c:v>2.1382833571495492E-15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9DA7-4CC7-BF25-131A79EC667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57-40%'!$E$8:$E$130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2.3312798324193917E-2</c:v>
                      </c:pt>
                      <c:pt idx="45">
                        <c:v>2.2767647063927147E-2</c:v>
                      </c:pt>
                      <c:pt idx="46">
                        <c:v>2.1461073840930576E-2</c:v>
                      </c:pt>
                      <c:pt idx="47">
                        <c:v>2.0468885245153903E-2</c:v>
                      </c:pt>
                      <c:pt idx="48">
                        <c:v>1.9166488694978199E-2</c:v>
                      </c:pt>
                      <c:pt idx="49">
                        <c:v>1.8204552276431432E-2</c:v>
                      </c:pt>
                      <c:pt idx="50">
                        <c:v>1.7132235992014373E-2</c:v>
                      </c:pt>
                      <c:pt idx="51">
                        <c:v>1.6119588298572199E-2</c:v>
                      </c:pt>
                      <c:pt idx="52">
                        <c:v>1.5244999437454785E-2</c:v>
                      </c:pt>
                      <c:pt idx="53" formatCode="0.0">
                        <c:v>1.5244999437454785E-2</c:v>
                      </c:pt>
                      <c:pt idx="54" formatCode="0.0">
                        <c:v>1.5244999437454785E-2</c:v>
                      </c:pt>
                      <c:pt idx="55" formatCode="0.0">
                        <c:v>1.5244999437454785E-2</c:v>
                      </c:pt>
                      <c:pt idx="56" formatCode="0.0">
                        <c:v>1.5244999437454785E-2</c:v>
                      </c:pt>
                      <c:pt idx="57" formatCode="0.0">
                        <c:v>1.5244999437454785E-2</c:v>
                      </c:pt>
                      <c:pt idx="58" formatCode="0.0">
                        <c:v>1.5244999437454785E-2</c:v>
                      </c:pt>
                      <c:pt idx="59" formatCode="0.0">
                        <c:v>1.5244999437454785E-2</c:v>
                      </c:pt>
                      <c:pt idx="60" formatCode="0.0">
                        <c:v>1.5244999437454785E-2</c:v>
                      </c:pt>
                      <c:pt idx="61" formatCode="0.0">
                        <c:v>1.5244999437454785E-2</c:v>
                      </c:pt>
                      <c:pt idx="62" formatCode="0.0">
                        <c:v>1.5244999437454785E-2</c:v>
                      </c:pt>
                      <c:pt idx="63" formatCode="0.0">
                        <c:v>1.5244999437454785E-2</c:v>
                      </c:pt>
                      <c:pt idx="64" formatCode="0.0">
                        <c:v>1.5244999437454785E-2</c:v>
                      </c:pt>
                      <c:pt idx="65" formatCode="0.0">
                        <c:v>1.5244999437454785E-2</c:v>
                      </c:pt>
                      <c:pt idx="66" formatCode="0.0">
                        <c:v>1.5244999437454785E-2</c:v>
                      </c:pt>
                      <c:pt idx="67" formatCode="0.0">
                        <c:v>1.5244999437454785E-2</c:v>
                      </c:pt>
                      <c:pt idx="68" formatCode="0.0">
                        <c:v>1.5244999437454785E-2</c:v>
                      </c:pt>
                      <c:pt idx="69" formatCode="0.0">
                        <c:v>1.5244999437454785E-2</c:v>
                      </c:pt>
                      <c:pt idx="70" formatCode="0.0">
                        <c:v>1.5244999437454785E-2</c:v>
                      </c:pt>
                      <c:pt idx="71" formatCode="0.0">
                        <c:v>1.5244999437454785E-2</c:v>
                      </c:pt>
                      <c:pt idx="72" formatCode="0.0">
                        <c:v>1.5244999437454785E-2</c:v>
                      </c:pt>
                      <c:pt idx="73" formatCode="0.0">
                        <c:v>1.5244999437454785E-2</c:v>
                      </c:pt>
                      <c:pt idx="74" formatCode="0.0">
                        <c:v>1.5244999437454785E-2</c:v>
                      </c:pt>
                      <c:pt idx="75" formatCode="0.0">
                        <c:v>1.5244999437454785E-2</c:v>
                      </c:pt>
                      <c:pt idx="76" formatCode="0.0">
                        <c:v>1.5244999437454785E-2</c:v>
                      </c:pt>
                      <c:pt idx="77" formatCode="0.0">
                        <c:v>1.5244999437454785E-2</c:v>
                      </c:pt>
                      <c:pt idx="78" formatCode="0.0">
                        <c:v>1.5244999437454785E-2</c:v>
                      </c:pt>
                      <c:pt idx="79" formatCode="0.0">
                        <c:v>1.5244999437454785E-2</c:v>
                      </c:pt>
                      <c:pt idx="80" formatCode="0.0">
                        <c:v>1.5244999437454785E-2</c:v>
                      </c:pt>
                      <c:pt idx="81" formatCode="0.0">
                        <c:v>1.5244999437454785E-2</c:v>
                      </c:pt>
                      <c:pt idx="82" formatCode="0.0">
                        <c:v>1.5244999437454785E-2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9DA7-4CC7-BF25-131A79EC6675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Nitrous 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'Scenario 57-40%'!$E$7</c:f>
              <c:strCache>
                <c:ptCount val="1"/>
                <c:pt idx="0">
                  <c:v>N2O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8BBCBEE-8AEB-4E30-BDEB-9E475F10FE2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B71-42FF-A681-C8E883DE6D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1-42FF-A681-C8E883DE6D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1-42FF-A681-C8E883DE6D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1-42FF-A681-C8E883DE6D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71-42FF-A681-C8E883DE6D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1-42FF-A681-C8E883DE6D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71-42FF-A681-C8E883DE6D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71-42FF-A681-C8E883DE6D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71-42FF-A681-C8E883DE6D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71-42FF-A681-C8E883DE6D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71-42FF-A681-C8E883DE6DA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71-42FF-A681-C8E883DE6DA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F8449B9-C060-4234-A4DD-AEBC1D245A5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B71-42FF-A681-C8E883DE6DA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6DF15C8-C553-4CDF-A0F2-9B1F6B97A1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B71-42FF-A681-C8E883DE6DA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06B134B-972D-4AE2-9FFC-AB92654BB7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B71-42FF-A681-C8E883DE6DA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01A6E89-AC02-4949-8836-32BE9408AE0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B71-42FF-A681-C8E883DE6DA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C3778FA-E98C-43C2-85FD-3C29930696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B71-42FF-A681-C8E883DE6DA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DB5AE1F-F5A9-44F1-92D0-8B9D76214FE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B71-42FF-A681-C8E883DE6DA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77577C0-16F5-4B01-A3BC-2D27287BCB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B71-42FF-A681-C8E883DE6DA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44267C3-610E-48E0-87C6-328165B2D53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B71-42FF-A681-C8E883DE6DA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FF726DF-9667-457C-8BA7-9AD17A8147A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B71-42FF-A681-C8E883DE6DA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08E29AB-E666-47F0-8E72-C07AFEF3E73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B71-42FF-A681-C8E883DE6DA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D42C037-B1DB-4A38-8963-E9D92C0DFD4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B71-42FF-A681-C8E883DE6DA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96E7F65-C413-4D1F-B90E-44D5921015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B71-42FF-A681-C8E883DE6DA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B21B3CB-448E-4F79-8685-7D4BBA6ADB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B71-42FF-A681-C8E883DE6DA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0732741-54A7-440E-88CF-C707BB4B9D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B71-42FF-A681-C8E883DE6DA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29D2C00-4198-4A07-9DD7-BCD286B522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B71-42FF-A681-C8E883DE6DA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F828A43-203F-4722-AB2E-13A7E0ACA6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B71-42FF-A681-C8E883DE6DA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788DF81-41E1-4AE4-A97B-C2E6300AFF7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B71-42FF-A681-C8E883DE6DA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A7AA646B-FB69-4CCE-9473-0AA5EB1290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B71-42FF-A681-C8E883DE6DA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E9BFC49-1318-4B87-99DF-5643FAD785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B71-42FF-A681-C8E883DE6DA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95DC8FA-A05E-4C8F-905C-5D8409AC491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B71-42FF-A681-C8E883DE6DA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0DE11D46-9896-4C48-8B6E-1FCD1F135A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B71-42FF-A681-C8E883DE6DA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590D474-3EA4-46A4-89B9-770C0EEC1C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B71-42FF-A681-C8E883DE6DA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DA2F3F5-7100-4161-B7DC-0B6D43FCD2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B71-42FF-A681-C8E883DE6DA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79BF5DE5-3EF6-48A6-B2FA-FF2A301479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B71-42FF-A681-C8E883DE6DA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3790B370-6E4C-422F-A0CA-6949F124FE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B71-42FF-A681-C8E883DE6DA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9D80501-706F-47F8-878B-12E648D17E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B71-42FF-A681-C8E883DE6DA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87EB900-7F19-4D28-8CE9-3598BBE4B62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B71-42FF-A681-C8E883DE6DA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D054274D-B29F-4003-B117-A2305EF0CA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B71-42FF-A681-C8E883DE6DAE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0640278-658C-4116-8F69-F5F3045FA3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B71-42FF-A681-C8E883DE6DAE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252849E-F4FC-4425-9661-628D098A51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B71-42FF-A681-C8E883DE6DA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00202CC-F51C-4468-AE74-F386CCE524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B71-42FF-A681-C8E883DE6DA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F44B74F-FA7F-416E-BBC8-372C87E4F8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B71-42FF-A681-C8E883DE6DAE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71EE970-B993-4346-9F29-D8A4D982E31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B71-42FF-A681-C8E883DE6DA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0FA32559-CD0E-4985-B246-848DB929249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B71-42FF-A681-C8E883DE6DA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FA9A13F-7E65-4F2B-9F13-39E3B4C4219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B71-42FF-A681-C8E883DE6DAE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BE06759C-ABAB-4BAF-A7B4-E59230B7F1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B71-42FF-A681-C8E883DE6DA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C9221C1-B1F6-45AC-B394-CE33C7435F4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B71-42FF-A681-C8E883DE6DAE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09455119-63D1-4EA5-B632-BF4DF04A915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B71-42FF-A681-C8E883DE6DA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D835448-58D3-40C8-BC4A-B091C293F1A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B71-42FF-A681-C8E883DE6DA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0CED9BD-DD73-464F-8D06-8C7FAA3B0A2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B71-42FF-A681-C8E883DE6DAE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EA3B735-C970-45B8-AB6C-90C838E2A2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B71-42FF-A681-C8E883DE6DAE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D4CE9B2-5F7D-418A-B021-8162008CB7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B71-42FF-A681-C8E883DE6DAE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CD66EF46-45B2-4B04-BEF2-9B7B2E13FEC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B71-42FF-A681-C8E883DE6DAE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6D5CA954-A128-406E-A6EC-2AF2FF234B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B71-42FF-A681-C8E883DE6DAE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47B4A922-2874-4162-B38F-2B2635DDD1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B71-42FF-A681-C8E883DE6DAE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5F6ADB5D-4F08-41CF-949F-56FE7EF588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5B71-42FF-A681-C8E883DE6DAE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748B8D2B-7E44-469B-AE30-AFE4243438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B71-42FF-A681-C8E883DE6DAE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67FC8BF1-26DC-445D-84DF-1EF538DB28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B71-42FF-A681-C8E883DE6DAE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0108C7D8-D3A3-4C2C-A2CA-4954AB8D21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B71-42FF-A681-C8E883DE6DAE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5B5E4F53-5029-455F-B0BF-A5417969C8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B71-42FF-A681-C8E883DE6DAE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9A0EEB6-F07D-4E4B-99A9-B7E48DA2E9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B71-42FF-A681-C8E883DE6DAE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6169D443-F6F0-454F-9930-8E630708E7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B71-42FF-A681-C8E883DE6DAE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C764C9D7-07D1-47AC-B5D4-DC9D44F49C7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B71-42FF-A681-C8E883DE6DAE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F4F629EE-5017-4F19-BB03-E18BCF9ABA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B71-42FF-A681-C8E883DE6DAE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41B90627-7AEA-404E-AD6D-282700CFE5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B71-42FF-A681-C8E883DE6DAE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18720561-BACA-465A-B06D-8B47E3E8B2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5B71-42FF-A681-C8E883DE6DAE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FF8A0726-A87B-4FBC-B292-FEF345737F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5B71-42FF-A681-C8E883DE6DAE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97FD8FF3-DE35-4243-98DD-C9E2EFC9BB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5B71-42FF-A681-C8E883DE6DAE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580DD1AD-1EAE-4627-B099-DC53464921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5B71-42FF-A681-C8E883DE6DAE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BECF116D-B467-405C-B013-5F49BE56D8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5B71-42FF-A681-C8E883DE6DAE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4090B09A-5E73-4B0A-9068-5073D79DE5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5B71-42FF-A681-C8E883DE6DAE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8A5AC847-E122-497F-8A89-31B215F625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5B71-42FF-A681-C8E883DE6DAE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DC5EA003-088C-486A-A582-F712111C50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5B71-42FF-A681-C8E883DE6DAE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7E9AAC5C-8A21-49DD-A3BF-D9C8097954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5B71-42FF-A681-C8E883DE6DAE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D37AAF50-2101-4CE5-B4A7-DE820F6A37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5B71-42FF-A681-C8E883DE6DAE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2473C5CD-C4EA-4BAF-9942-DB14C50845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5B71-42FF-A681-C8E883DE6DAE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8BD2693B-E42F-4B13-A533-8A343B8299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5B71-42FF-A681-C8E883DE6DAE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072969FD-1E5F-48D7-AFD4-56749353A2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5B71-42FF-A681-C8E883DE6DAE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81DF35E5-8A00-4612-85A8-FD7638C23E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5B71-42FF-A681-C8E883DE6DAE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203B53EA-9763-4628-9C2A-D5B4149769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5B71-42FF-A681-C8E883DE6DAE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C67B597E-E438-4CCE-9F1B-384BB6BFB9C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5B71-42FF-A681-C8E883DE6DAE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B71-42FF-A681-C8E883DE6DAE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5B71-42FF-A681-C8E883DE6DAE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B71-42FF-A681-C8E883DE6DAE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5B71-42FF-A681-C8E883DE6DAE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B71-42FF-A681-C8E883DE6DAE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5B71-42FF-A681-C8E883DE6DAE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B71-42FF-A681-C8E883DE6DAE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5B71-42FF-A681-C8E883DE6DAE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B71-42FF-A681-C8E883DE6DAE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B71-42FF-A681-C8E883DE6DAE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B71-42FF-A681-C8E883DE6DAE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5B71-42FF-A681-C8E883DE6DAE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B71-42FF-A681-C8E883DE6DAE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5B71-42FF-A681-C8E883DE6DAE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B71-42FF-A681-C8E883DE6DAE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5B71-42FF-A681-C8E883DE6DAE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B71-42FF-A681-C8E883DE6DAE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5B71-42FF-A681-C8E883DE6DAE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B71-42FF-A681-C8E883DE6DAE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5B71-42FF-A681-C8E883DE6DAE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B71-42FF-A681-C8E883DE6DAE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5B71-42FF-A681-C8E883DE6DAE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B71-42FF-A681-C8E883DE6DAE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5B71-42FF-A681-C8E883DE6DAE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B71-42FF-A681-C8E883DE6DAE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5B71-42FF-A681-C8E883DE6DAE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B71-42FF-A681-C8E883DE6DAE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5B71-42FF-A681-C8E883DE6DAE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B71-42FF-A681-C8E883DE6DAE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5B71-42FF-A681-C8E883DE6DAE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B71-42FF-A681-C8E883DE6DAE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B71-42FF-A681-C8E883DE6DAE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B71-42FF-A681-C8E883DE6DAE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B71-42FF-A681-C8E883DE6DAE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B71-42FF-A681-C8E883DE6DAE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5B71-42FF-A681-C8E883DE6DAE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5B71-42FF-A681-C8E883DE6DAE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5B71-42FF-A681-C8E883DE6DAE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B71-42FF-A681-C8E883DE6DAE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B71-42FF-A681-C8E883DE6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57-40%'!$B$8:$B$130</c:f>
              <c:numCache>
                <c:formatCode>General</c:formatCode>
                <c:ptCount val="12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57-40%'!$E$8:$E$130</c:f>
              <c:numCache>
                <c:formatCode>0.00</c:formatCode>
                <c:ptCount val="123"/>
                <c:pt idx="12">
                  <c:v>2.6227661646226468E-2</c:v>
                </c:pt>
                <c:pt idx="13">
                  <c:v>2.554114757699584E-2</c:v>
                </c:pt>
                <c:pt idx="14">
                  <c:v>2.5204417941327273E-2</c:v>
                </c:pt>
                <c:pt idx="15">
                  <c:v>2.5697521605793531E-2</c:v>
                </c:pt>
                <c:pt idx="16">
                  <c:v>2.6660195601452181E-2</c:v>
                </c:pt>
                <c:pt idx="17">
                  <c:v>2.7848538989904151E-2</c:v>
                </c:pt>
                <c:pt idx="18">
                  <c:v>2.8242940550096497E-2</c:v>
                </c:pt>
                <c:pt idx="19">
                  <c:v>2.7991006485181408E-2</c:v>
                </c:pt>
                <c:pt idx="20">
                  <c:v>2.9429943506676829E-2</c:v>
                </c:pt>
                <c:pt idx="21">
                  <c:v>2.8645206014373741E-2</c:v>
                </c:pt>
                <c:pt idx="22">
                  <c:v>2.7713149439546961E-2</c:v>
                </c:pt>
                <c:pt idx="23">
                  <c:v>2.6361520111669961E-2</c:v>
                </c:pt>
                <c:pt idx="24">
                  <c:v>2.5205268301960501E-2</c:v>
                </c:pt>
                <c:pt idx="25">
                  <c:v>2.5051707160096713E-2</c:v>
                </c:pt>
                <c:pt idx="26">
                  <c:v>2.4462801837163501E-2</c:v>
                </c:pt>
                <c:pt idx="27">
                  <c:v>2.4090144176706841E-2</c:v>
                </c:pt>
                <c:pt idx="28">
                  <c:v>2.3416369558615369E-2</c:v>
                </c:pt>
                <c:pt idx="29">
                  <c:v>2.2587866931128592E-2</c:v>
                </c:pt>
                <c:pt idx="30">
                  <c:v>2.252824456889773E-2</c:v>
                </c:pt>
                <c:pt idx="31">
                  <c:v>2.1984221435495593E-2</c:v>
                </c:pt>
                <c:pt idx="32">
                  <c:v>2.3205006831574712E-2</c:v>
                </c:pt>
                <c:pt idx="33">
                  <c:v>2.1596923732384501E-2</c:v>
                </c:pt>
                <c:pt idx="34">
                  <c:v>2.2350835962576289E-2</c:v>
                </c:pt>
                <c:pt idx="35">
                  <c:v>2.3861676615019551E-2</c:v>
                </c:pt>
                <c:pt idx="36">
                  <c:v>2.3087068532383508E-2</c:v>
                </c:pt>
                <c:pt idx="37">
                  <c:v>2.3139800195035771E-2</c:v>
                </c:pt>
                <c:pt idx="38">
                  <c:v>2.3402918953505311E-2</c:v>
                </c:pt>
                <c:pt idx="39">
                  <c:v>2.4736923302581051E-2</c:v>
                </c:pt>
                <c:pt idx="40">
                  <c:v>2.5646912762990196E-2</c:v>
                </c:pt>
                <c:pt idx="41">
                  <c:v>2.4309378074883786E-2</c:v>
                </c:pt>
                <c:pt idx="42">
                  <c:v>2.4191018892461238E-2</c:v>
                </c:pt>
                <c:pt idx="43">
                  <c:v>2.4288542705006529E-2</c:v>
                </c:pt>
                <c:pt idx="44">
                  <c:v>2.3312798324193917E-2</c:v>
                </c:pt>
                <c:pt idx="45">
                  <c:v>2.2767647063927147E-2</c:v>
                </c:pt>
                <c:pt idx="46">
                  <c:v>2.1461073840930576E-2</c:v>
                </c:pt>
                <c:pt idx="47">
                  <c:v>2.0468885245153903E-2</c:v>
                </c:pt>
                <c:pt idx="48">
                  <c:v>1.9166488694978199E-2</c:v>
                </c:pt>
                <c:pt idx="49">
                  <c:v>1.8204552276431432E-2</c:v>
                </c:pt>
                <c:pt idx="50">
                  <c:v>1.7132235992014373E-2</c:v>
                </c:pt>
                <c:pt idx="51">
                  <c:v>1.6119588298572199E-2</c:v>
                </c:pt>
                <c:pt idx="52">
                  <c:v>1.5244999437454785E-2</c:v>
                </c:pt>
                <c:pt idx="53" formatCode="0.0">
                  <c:v>1.5244999437454785E-2</c:v>
                </c:pt>
                <c:pt idx="54" formatCode="0.0">
                  <c:v>1.5244999437454785E-2</c:v>
                </c:pt>
                <c:pt idx="55" formatCode="0.0">
                  <c:v>1.5244999437454785E-2</c:v>
                </c:pt>
                <c:pt idx="56" formatCode="0.0">
                  <c:v>1.5244999437454785E-2</c:v>
                </c:pt>
                <c:pt idx="57" formatCode="0.0">
                  <c:v>1.5244999437454785E-2</c:v>
                </c:pt>
                <c:pt idx="58" formatCode="0.0">
                  <c:v>1.5244999437454785E-2</c:v>
                </c:pt>
                <c:pt idx="59" formatCode="0.0">
                  <c:v>1.5244999437454785E-2</c:v>
                </c:pt>
                <c:pt idx="60" formatCode="0.0">
                  <c:v>1.5244999437454785E-2</c:v>
                </c:pt>
                <c:pt idx="61" formatCode="0.0">
                  <c:v>1.5244999437454785E-2</c:v>
                </c:pt>
                <c:pt idx="62" formatCode="0.0">
                  <c:v>1.5244999437454785E-2</c:v>
                </c:pt>
                <c:pt idx="63" formatCode="0.0">
                  <c:v>1.5244999437454785E-2</c:v>
                </c:pt>
                <c:pt idx="64" formatCode="0.0">
                  <c:v>1.5244999437454785E-2</c:v>
                </c:pt>
                <c:pt idx="65" formatCode="0.0">
                  <c:v>1.5244999437454785E-2</c:v>
                </c:pt>
                <c:pt idx="66" formatCode="0.0">
                  <c:v>1.5244999437454785E-2</c:v>
                </c:pt>
                <c:pt idx="67" formatCode="0.0">
                  <c:v>1.5244999437454785E-2</c:v>
                </c:pt>
                <c:pt idx="68" formatCode="0.0">
                  <c:v>1.5244999437454785E-2</c:v>
                </c:pt>
                <c:pt idx="69" formatCode="0.0">
                  <c:v>1.5244999437454785E-2</c:v>
                </c:pt>
                <c:pt idx="70" formatCode="0.0">
                  <c:v>1.5244999437454785E-2</c:v>
                </c:pt>
                <c:pt idx="71" formatCode="0.0">
                  <c:v>1.5244999437454785E-2</c:v>
                </c:pt>
                <c:pt idx="72" formatCode="0.0">
                  <c:v>1.5244999437454785E-2</c:v>
                </c:pt>
                <c:pt idx="73" formatCode="0.0">
                  <c:v>1.5244999437454785E-2</c:v>
                </c:pt>
                <c:pt idx="74" formatCode="0.0">
                  <c:v>1.5244999437454785E-2</c:v>
                </c:pt>
                <c:pt idx="75" formatCode="0.0">
                  <c:v>1.5244999437454785E-2</c:v>
                </c:pt>
                <c:pt idx="76" formatCode="0.0">
                  <c:v>1.5244999437454785E-2</c:v>
                </c:pt>
                <c:pt idx="77" formatCode="0.0">
                  <c:v>1.5244999437454785E-2</c:v>
                </c:pt>
                <c:pt idx="78" formatCode="0.0">
                  <c:v>1.5244999437454785E-2</c:v>
                </c:pt>
                <c:pt idx="79" formatCode="0.0">
                  <c:v>1.5244999437454785E-2</c:v>
                </c:pt>
                <c:pt idx="80" formatCode="0.0">
                  <c:v>1.5244999437454785E-2</c:v>
                </c:pt>
                <c:pt idx="81" formatCode="0.0">
                  <c:v>1.5244999437454785E-2</c:v>
                </c:pt>
                <c:pt idx="82" formatCode="0.0">
                  <c:v>1.5244999437454785E-2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57-40%'!$R$8:$R$130</c15:f>
                <c15:dlblRangeCache>
                  <c:ptCount val="123"/>
                  <c:pt idx="42">
                    <c:v>6%</c:v>
                  </c:pt>
                  <c:pt idx="47">
                    <c:v>20%</c:v>
                  </c:pt>
                  <c:pt idx="52">
                    <c:v>41%</c:v>
                  </c:pt>
                  <c:pt idx="62">
                    <c:v>41%</c:v>
                  </c:pt>
                  <c:pt idx="72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5B71-42FF-A681-C8E883DE6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57-40%'!$C$7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57-40%'!$B$8:$B$130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57-40%'!$C$8:$C$130</c15:sqref>
                        </c15:formulaRef>
                      </c:ext>
                    </c:extLst>
                    <c:numCache>
                      <c:formatCode>0.0</c:formatCode>
                      <c:ptCount val="12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39.44333324417066</c:v>
                      </c:pt>
                      <c:pt idx="44" formatCode="0.00">
                        <c:v>39.791121384432152</c:v>
                      </c:pt>
                      <c:pt idx="45" formatCode="0.00">
                        <c:v>40.468275334231322</c:v>
                      </c:pt>
                      <c:pt idx="46" formatCode="0.00">
                        <c:v>35.868720985882703</c:v>
                      </c:pt>
                      <c:pt idx="47" formatCode="0.00">
                        <c:v>32.556433407540545</c:v>
                      </c:pt>
                      <c:pt idx="48" formatCode="0.00">
                        <c:v>28.609033574713234</c:v>
                      </c:pt>
                      <c:pt idx="49" formatCode="0.00">
                        <c:v>25.964462362916588</c:v>
                      </c:pt>
                      <c:pt idx="50" formatCode="0.00">
                        <c:v>23.23245495447069</c:v>
                      </c:pt>
                      <c:pt idx="51" formatCode="0.00">
                        <c:v>20.902778020767197</c:v>
                      </c:pt>
                      <c:pt idx="52" formatCode="0.00">
                        <c:v>19.191011235625513</c:v>
                      </c:pt>
                      <c:pt idx="53">
                        <c:v>18.231460673844232</c:v>
                      </c:pt>
                      <c:pt idx="54">
                        <c:v>17.271910112062958</c:v>
                      </c:pt>
                      <c:pt idx="55">
                        <c:v>16.312359550281691</c:v>
                      </c:pt>
                      <c:pt idx="56">
                        <c:v>15.352808988500405</c:v>
                      </c:pt>
                      <c:pt idx="57">
                        <c:v>14.393258426719131</c:v>
                      </c:pt>
                      <c:pt idx="58">
                        <c:v>13.433707864937857</c:v>
                      </c:pt>
                      <c:pt idx="59">
                        <c:v>12.474157303156582</c:v>
                      </c:pt>
                      <c:pt idx="60">
                        <c:v>11.514606741375308</c:v>
                      </c:pt>
                      <c:pt idx="61">
                        <c:v>10.555056179594027</c:v>
                      </c:pt>
                      <c:pt idx="62">
                        <c:v>9.595505617812746</c:v>
                      </c:pt>
                      <c:pt idx="63">
                        <c:v>8.6359550560314755</c:v>
                      </c:pt>
                      <c:pt idx="64">
                        <c:v>7.6764044942502014</c:v>
                      </c:pt>
                      <c:pt idx="65">
                        <c:v>6.7168539324689203</c:v>
                      </c:pt>
                      <c:pt idx="66">
                        <c:v>5.7573033706876462</c:v>
                      </c:pt>
                      <c:pt idx="67">
                        <c:v>4.7977528089063748</c:v>
                      </c:pt>
                      <c:pt idx="68">
                        <c:v>3.8382022471251056</c:v>
                      </c:pt>
                      <c:pt idx="69">
                        <c:v>2.8786516853438182</c:v>
                      </c:pt>
                      <c:pt idx="70">
                        <c:v>1.9191011235625475</c:v>
                      </c:pt>
                      <c:pt idx="71">
                        <c:v>0.95955056178127618</c:v>
                      </c:pt>
                      <c:pt idx="72">
                        <c:v>2.1382833571495492E-15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5B71-42FF-A681-C8E883DE6DAE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57-40%'!$D$8:$D$130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0.58129901066215994</c:v>
                      </c:pt>
                      <c:pt idx="45">
                        <c:v>0.56157035102336328</c:v>
                      </c:pt>
                      <c:pt idx="46">
                        <c:v>0.53130858935696113</c:v>
                      </c:pt>
                      <c:pt idx="47">
                        <c:v>0.5053958555837732</c:v>
                      </c:pt>
                      <c:pt idx="48">
                        <c:v>0.47519187176344252</c:v>
                      </c:pt>
                      <c:pt idx="49">
                        <c:v>0.44969763034392596</c:v>
                      </c:pt>
                      <c:pt idx="50">
                        <c:v>0.42267645320950437</c:v>
                      </c:pt>
                      <c:pt idx="51">
                        <c:v>0.39648069927975194</c:v>
                      </c:pt>
                      <c:pt idx="52">
                        <c:v>0.37219477700428399</c:v>
                      </c:pt>
                      <c:pt idx="53">
                        <c:v>0.37219477700428399</c:v>
                      </c:pt>
                      <c:pt idx="54">
                        <c:v>0.37219477700428399</c:v>
                      </c:pt>
                      <c:pt idx="55">
                        <c:v>0.37219477700428399</c:v>
                      </c:pt>
                      <c:pt idx="56">
                        <c:v>0.37219477700428399</c:v>
                      </c:pt>
                      <c:pt idx="57">
                        <c:v>0.37219477700428399</c:v>
                      </c:pt>
                      <c:pt idx="58">
                        <c:v>0.37219477700428399</c:v>
                      </c:pt>
                      <c:pt idx="59">
                        <c:v>0.37219477700428399</c:v>
                      </c:pt>
                      <c:pt idx="60">
                        <c:v>0.37219477700428399</c:v>
                      </c:pt>
                      <c:pt idx="61">
                        <c:v>0.37219477700428399</c:v>
                      </c:pt>
                      <c:pt idx="62">
                        <c:v>0.37219477700428399</c:v>
                      </c:pt>
                      <c:pt idx="63">
                        <c:v>0.37219477700428399</c:v>
                      </c:pt>
                      <c:pt idx="64">
                        <c:v>0.37219477700428399</c:v>
                      </c:pt>
                      <c:pt idx="65">
                        <c:v>0.37219477700428399</c:v>
                      </c:pt>
                      <c:pt idx="66">
                        <c:v>0.37219477700428399</c:v>
                      </c:pt>
                      <c:pt idx="67">
                        <c:v>0.37219477700428399</c:v>
                      </c:pt>
                      <c:pt idx="68">
                        <c:v>0.37219477700428399</c:v>
                      </c:pt>
                      <c:pt idx="69">
                        <c:v>0.37219477700428399</c:v>
                      </c:pt>
                      <c:pt idx="70">
                        <c:v>0.37219477700428399</c:v>
                      </c:pt>
                      <c:pt idx="71">
                        <c:v>0.37219477700428399</c:v>
                      </c:pt>
                      <c:pt idx="72">
                        <c:v>0.37219477700428399</c:v>
                      </c:pt>
                      <c:pt idx="73">
                        <c:v>0.37219477700428399</c:v>
                      </c:pt>
                      <c:pt idx="74">
                        <c:v>0.37219477700428399</c:v>
                      </c:pt>
                      <c:pt idx="75">
                        <c:v>0.37219477700428399</c:v>
                      </c:pt>
                      <c:pt idx="76">
                        <c:v>0.37219477700428399</c:v>
                      </c:pt>
                      <c:pt idx="77">
                        <c:v>0.37219477700428399</c:v>
                      </c:pt>
                      <c:pt idx="78">
                        <c:v>0.37219477700428399</c:v>
                      </c:pt>
                      <c:pt idx="79">
                        <c:v>0.37219477700428399</c:v>
                      </c:pt>
                      <c:pt idx="80">
                        <c:v>0.37219477700428399</c:v>
                      </c:pt>
                      <c:pt idx="81">
                        <c:v>0.37219477700428399</c:v>
                      </c:pt>
                      <c:pt idx="82">
                        <c:v>0.37219477700428399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5B71-42FF-A681-C8E883DE6DAE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Cumulative</a:t>
            </a:r>
            <a:r>
              <a:rPr lang="en-IE" baseline="0"/>
              <a:t> Emissions</a:t>
            </a: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4"/>
          <c:tx>
            <c:strRef>
              <c:f>GasesSummary!$N$62</c:f>
              <c:strCache>
                <c:ptCount val="1"/>
                <c:pt idx="0">
                  <c:v>N2O E57%A40%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GasesSummary!$N$63:$N$95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19.024975379240345</c:v>
                </c:pt>
                <c:pt idx="5">
                  <c:v>25.058401851181038</c:v>
                </c:pt>
                <c:pt idx="6">
                  <c:v>30.745586419027642</c:v>
                </c:pt>
                <c:pt idx="7">
                  <c:v>36.16984100899343</c:v>
                </c:pt>
                <c:pt idx="8">
                  <c:v>41.24896051316265</c:v>
                </c:pt>
                <c:pt idx="9">
                  <c:v>46.073166866416983</c:v>
                </c:pt>
                <c:pt idx="10">
                  <c:v>50.61320940430079</c:v>
                </c:pt>
                <c:pt idx="11">
                  <c:v>54.88490030342242</c:v>
                </c:pt>
                <c:pt idx="12">
                  <c:v>58.924825154347936</c:v>
                </c:pt>
                <c:pt idx="13">
                  <c:v>62.964750005273451</c:v>
                </c:pt>
                <c:pt idx="14">
                  <c:v>67.004674856198974</c:v>
                </c:pt>
                <c:pt idx="15">
                  <c:v>71.04459970712449</c:v>
                </c:pt>
                <c:pt idx="16">
                  <c:v>75.084524558050006</c:v>
                </c:pt>
                <c:pt idx="17">
                  <c:v>79.124449408975522</c:v>
                </c:pt>
                <c:pt idx="18">
                  <c:v>83.164374259901038</c:v>
                </c:pt>
                <c:pt idx="19">
                  <c:v>87.204299110826554</c:v>
                </c:pt>
                <c:pt idx="20">
                  <c:v>91.24422396175207</c:v>
                </c:pt>
                <c:pt idx="21">
                  <c:v>95.284148812677586</c:v>
                </c:pt>
                <c:pt idx="22">
                  <c:v>99.324073663603102</c:v>
                </c:pt>
                <c:pt idx="23">
                  <c:v>103.36399851452862</c:v>
                </c:pt>
                <c:pt idx="24">
                  <c:v>107.40392336545413</c:v>
                </c:pt>
                <c:pt idx="25">
                  <c:v>111.44384821637965</c:v>
                </c:pt>
                <c:pt idx="26">
                  <c:v>115.48377306730517</c:v>
                </c:pt>
                <c:pt idx="27">
                  <c:v>119.52369791823068</c:v>
                </c:pt>
                <c:pt idx="28">
                  <c:v>123.5636227691562</c:v>
                </c:pt>
                <c:pt idx="29">
                  <c:v>127.60354762008171</c:v>
                </c:pt>
                <c:pt idx="30">
                  <c:v>131.64347247100724</c:v>
                </c:pt>
                <c:pt idx="31">
                  <c:v>135.68339732193277</c:v>
                </c:pt>
                <c:pt idx="32">
                  <c:v>139.7233221728583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8B1A-4427-8CBD-03CD931E8BD0}"/>
            </c:ext>
          </c:extLst>
        </c:ser>
        <c:ser>
          <c:idx val="14"/>
          <c:order val="14"/>
          <c:tx>
            <c:strRef>
              <c:f>GasesSummary!$X$62</c:f>
              <c:strCache>
                <c:ptCount val="1"/>
                <c:pt idx="0">
                  <c:v>N2O E51%A0%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GasesSummary!$X$63:$X$95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18.946134372021895</c:v>
                </c:pt>
                <c:pt idx="5">
                  <c:v>24.821878829525687</c:v>
                </c:pt>
                <c:pt idx="6">
                  <c:v>30.272540375716936</c:v>
                </c:pt>
                <c:pt idx="7">
                  <c:v>35.381430936808911</c:v>
                </c:pt>
                <c:pt idx="8">
                  <c:v>40.06634540488588</c:v>
                </c:pt>
                <c:pt idx="9">
                  <c:v>44.417505714829502</c:v>
                </c:pt>
                <c:pt idx="10">
                  <c:v>48.405661202184149</c:v>
                </c:pt>
                <c:pt idx="11">
                  <c:v>52.046624043558168</c:v>
                </c:pt>
                <c:pt idx="12">
                  <c:v>55.376979829517623</c:v>
                </c:pt>
                <c:pt idx="13">
                  <c:v>58.707335615477078</c:v>
                </c:pt>
                <c:pt idx="14">
                  <c:v>62.037691401436533</c:v>
                </c:pt>
                <c:pt idx="15">
                  <c:v>65.368047187395987</c:v>
                </c:pt>
                <c:pt idx="16">
                  <c:v>68.698402973355442</c:v>
                </c:pt>
                <c:pt idx="17">
                  <c:v>72.028758759314897</c:v>
                </c:pt>
                <c:pt idx="18">
                  <c:v>75.359114545274352</c:v>
                </c:pt>
                <c:pt idx="19">
                  <c:v>78.689470331233807</c:v>
                </c:pt>
                <c:pt idx="20">
                  <c:v>82.019826117193261</c:v>
                </c:pt>
                <c:pt idx="21">
                  <c:v>85.350181903152716</c:v>
                </c:pt>
                <c:pt idx="22">
                  <c:v>88.680537689112171</c:v>
                </c:pt>
                <c:pt idx="23">
                  <c:v>92.010893475071626</c:v>
                </c:pt>
                <c:pt idx="24">
                  <c:v>95.341249261031081</c:v>
                </c:pt>
                <c:pt idx="25">
                  <c:v>98.671605046990535</c:v>
                </c:pt>
                <c:pt idx="26">
                  <c:v>102.00196083294999</c:v>
                </c:pt>
                <c:pt idx="27">
                  <c:v>105.33231661890945</c:v>
                </c:pt>
                <c:pt idx="28">
                  <c:v>108.6626724048689</c:v>
                </c:pt>
                <c:pt idx="29">
                  <c:v>111.99302819082835</c:v>
                </c:pt>
                <c:pt idx="30">
                  <c:v>115.32338397678781</c:v>
                </c:pt>
                <c:pt idx="31">
                  <c:v>118.65373976274726</c:v>
                </c:pt>
                <c:pt idx="32">
                  <c:v>121.98409554870672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2-8B1A-4427-8CBD-03CD931E8BD0}"/>
            </c:ext>
          </c:extLst>
        </c:ser>
        <c:ser>
          <c:idx val="24"/>
          <c:order val="24"/>
          <c:tx>
            <c:strRef>
              <c:f>GasesSummary!$AH$62</c:f>
              <c:strCache>
                <c:ptCount val="1"/>
                <c:pt idx="0">
                  <c:v>N2O E61%A33%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GasesSummary!$AH$63:$AH$95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19.075146929288451</c:v>
                </c:pt>
                <c:pt idx="5">
                  <c:v>25.208916501325355</c:v>
                </c:pt>
                <c:pt idx="6">
                  <c:v>31.046615719316275</c:v>
                </c:pt>
                <c:pt idx="7">
                  <c:v>36.671556509474485</c:v>
                </c:pt>
                <c:pt idx="8">
                  <c:v>42.001533763884233</c:v>
                </c:pt>
                <c:pt idx="9">
                  <c:v>47.126769417427198</c:v>
                </c:pt>
                <c:pt idx="10">
                  <c:v>52.018012805647743</c:v>
                </c:pt>
                <c:pt idx="11">
                  <c:v>56.691076105154217</c:v>
                </c:pt>
                <c:pt idx="12">
                  <c:v>61.182544906512682</c:v>
                </c:pt>
                <c:pt idx="13">
                  <c:v>65.674013707871154</c:v>
                </c:pt>
                <c:pt idx="14">
                  <c:v>70.165482509229619</c:v>
                </c:pt>
                <c:pt idx="15">
                  <c:v>74.656951310588084</c:v>
                </c:pt>
                <c:pt idx="16">
                  <c:v>79.14842011194655</c:v>
                </c:pt>
                <c:pt idx="17">
                  <c:v>83.639888913305015</c:v>
                </c:pt>
                <c:pt idx="18">
                  <c:v>88.13135771466348</c:v>
                </c:pt>
                <c:pt idx="19">
                  <c:v>92.622826516021945</c:v>
                </c:pt>
                <c:pt idx="20">
                  <c:v>97.11429531738041</c:v>
                </c:pt>
                <c:pt idx="21">
                  <c:v>101.60576411873888</c:v>
                </c:pt>
                <c:pt idx="22">
                  <c:v>106.09723292009734</c:v>
                </c:pt>
                <c:pt idx="23">
                  <c:v>110.58870172145581</c:v>
                </c:pt>
                <c:pt idx="24">
                  <c:v>115.08017052281427</c:v>
                </c:pt>
                <c:pt idx="25">
                  <c:v>119.57163932417274</c:v>
                </c:pt>
                <c:pt idx="26">
                  <c:v>124.0631081255312</c:v>
                </c:pt>
                <c:pt idx="27">
                  <c:v>128.55457692688967</c:v>
                </c:pt>
                <c:pt idx="28">
                  <c:v>133.04604572824815</c:v>
                </c:pt>
                <c:pt idx="29">
                  <c:v>137.53751452960663</c:v>
                </c:pt>
                <c:pt idx="30">
                  <c:v>142.0289833309651</c:v>
                </c:pt>
                <c:pt idx="31">
                  <c:v>146.52045213232358</c:v>
                </c:pt>
                <c:pt idx="32">
                  <c:v>151.01192093368206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B-8B1A-4427-8CBD-03CD931E8BD0}"/>
            </c:ext>
          </c:extLst>
        </c:ser>
        <c:ser>
          <c:idx val="34"/>
          <c:order val="34"/>
          <c:tx>
            <c:strRef>
              <c:f>GasesSummary!$AR$62</c:f>
              <c:strCache>
                <c:ptCount val="1"/>
                <c:pt idx="0">
                  <c:v>N2O E65%A26%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GasesSummary!$AR$63:$AR$95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19.125318479336556</c:v>
                </c:pt>
                <c:pt idx="5">
                  <c:v>25.359431151469671</c:v>
                </c:pt>
                <c:pt idx="6">
                  <c:v>31.347645019604908</c:v>
                </c:pt>
                <c:pt idx="7">
                  <c:v>37.173272009955539</c:v>
                </c:pt>
                <c:pt idx="8">
                  <c:v>42.754107014605815</c:v>
                </c:pt>
                <c:pt idx="9">
                  <c:v>48.180371968437413</c:v>
                </c:pt>
                <c:pt idx="10">
                  <c:v>53.422816206994696</c:v>
                </c:pt>
                <c:pt idx="11">
                  <c:v>58.497251906886021</c:v>
                </c:pt>
                <c:pt idx="12">
                  <c:v>63.440264658677435</c:v>
                </c:pt>
                <c:pt idx="13">
                  <c:v>68.38327741046885</c:v>
                </c:pt>
                <c:pt idx="14">
                  <c:v>73.326290162260264</c:v>
                </c:pt>
                <c:pt idx="15">
                  <c:v>78.269302914051678</c:v>
                </c:pt>
                <c:pt idx="16">
                  <c:v>83.212315665843093</c:v>
                </c:pt>
                <c:pt idx="17">
                  <c:v>88.155328417634507</c:v>
                </c:pt>
                <c:pt idx="18">
                  <c:v>93.098341169425922</c:v>
                </c:pt>
                <c:pt idx="19">
                  <c:v>98.041353921217336</c:v>
                </c:pt>
                <c:pt idx="20">
                  <c:v>102.98436667300875</c:v>
                </c:pt>
                <c:pt idx="21">
                  <c:v>107.92737942480016</c:v>
                </c:pt>
                <c:pt idx="22">
                  <c:v>112.87039217659158</c:v>
                </c:pt>
                <c:pt idx="23">
                  <c:v>117.81340492838299</c:v>
                </c:pt>
                <c:pt idx="24">
                  <c:v>122.75641768017441</c:v>
                </c:pt>
                <c:pt idx="25">
                  <c:v>127.69943043196582</c:v>
                </c:pt>
                <c:pt idx="26">
                  <c:v>132.64244318375725</c:v>
                </c:pt>
                <c:pt idx="27">
                  <c:v>137.58545593554868</c:v>
                </c:pt>
                <c:pt idx="28">
                  <c:v>142.52846868734011</c:v>
                </c:pt>
                <c:pt idx="29">
                  <c:v>147.47148143913154</c:v>
                </c:pt>
                <c:pt idx="30">
                  <c:v>152.41449419092297</c:v>
                </c:pt>
                <c:pt idx="31">
                  <c:v>157.35750694271439</c:v>
                </c:pt>
                <c:pt idx="32">
                  <c:v>162.30051969450582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4-8B1A-4427-8CBD-03CD931E8BD0}"/>
            </c:ext>
          </c:extLst>
        </c:ser>
        <c:ser>
          <c:idx val="44"/>
          <c:order val="44"/>
          <c:tx>
            <c:strRef>
              <c:f>GasesSummary!$BB$62</c:f>
              <c:strCache>
                <c:ptCount val="1"/>
                <c:pt idx="0">
                  <c:v>N2O E19%A0%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GasesSummary!$BB$63:$BB$95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19.179073711530954</c:v>
                </c:pt>
                <c:pt idx="5">
                  <c:v>25.520696848052864</c:v>
                </c:pt>
                <c:pt idx="6">
                  <c:v>31.670176412771294</c:v>
                </c:pt>
                <c:pt idx="7">
                  <c:v>37.710824331899516</c:v>
                </c:pt>
                <c:pt idx="8">
                  <c:v>43.560435497521787</c:v>
                </c:pt>
                <c:pt idx="9">
                  <c:v>49.309231844519772</c:v>
                </c:pt>
                <c:pt idx="10">
                  <c:v>54.927962708437846</c:v>
                </c:pt>
                <c:pt idx="11">
                  <c:v>60.432440265884352</c:v>
                </c:pt>
                <c:pt idx="12">
                  <c:v>65.859250107425353</c:v>
                </c:pt>
                <c:pt idx="13">
                  <c:v>71.286059948966354</c:v>
                </c:pt>
                <c:pt idx="14">
                  <c:v>76.712869790507355</c:v>
                </c:pt>
                <c:pt idx="15">
                  <c:v>82.139679632048356</c:v>
                </c:pt>
                <c:pt idx="16">
                  <c:v>87.566489473589357</c:v>
                </c:pt>
                <c:pt idx="17">
                  <c:v>92.993299315130358</c:v>
                </c:pt>
                <c:pt idx="18">
                  <c:v>98.420109156671359</c:v>
                </c:pt>
                <c:pt idx="19">
                  <c:v>103.84691899821236</c:v>
                </c:pt>
                <c:pt idx="20">
                  <c:v>109.27372883975336</c:v>
                </c:pt>
                <c:pt idx="21">
                  <c:v>114.70053868129436</c:v>
                </c:pt>
                <c:pt idx="22">
                  <c:v>120.12734852283536</c:v>
                </c:pt>
                <c:pt idx="23">
                  <c:v>125.55415836437636</c:v>
                </c:pt>
                <c:pt idx="24">
                  <c:v>130.98096820591738</c:v>
                </c:pt>
                <c:pt idx="25">
                  <c:v>136.40777804745838</c:v>
                </c:pt>
                <c:pt idx="26">
                  <c:v>141.83458788899938</c:v>
                </c:pt>
                <c:pt idx="27">
                  <c:v>147.26139773054038</c:v>
                </c:pt>
                <c:pt idx="28">
                  <c:v>152.68820757208138</c:v>
                </c:pt>
                <c:pt idx="29">
                  <c:v>158.11501741362238</c:v>
                </c:pt>
                <c:pt idx="30">
                  <c:v>163.54182725516338</c:v>
                </c:pt>
                <c:pt idx="31">
                  <c:v>168.96863709670438</c:v>
                </c:pt>
                <c:pt idx="32">
                  <c:v>174.39544693824539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D-8B1A-4427-8CBD-03CD931E8BD0}"/>
            </c:ext>
          </c:extLst>
        </c:ser>
        <c:ser>
          <c:idx val="54"/>
          <c:order val="54"/>
          <c:tx>
            <c:strRef>
              <c:f>GasesSummary!$BL$62</c:f>
              <c:strCache>
                <c:ptCount val="1"/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GasesSummary!$BL$63:$BL$95</c:f>
              <c:numCache>
                <c:formatCode>0.0</c:formatCode>
                <c:ptCount val="33"/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6-8B1A-4427-8CBD-03CD931E8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120224"/>
        <c:axId val="63912678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GasesSummary!$J$62</c15:sqref>
                        </c15:formulaRef>
                      </c:ext>
                    </c:extLst>
                    <c:strCache>
                      <c:ptCount val="1"/>
                      <c:pt idx="0">
                        <c:v>CO2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GasesSummary!$J$63:$J$95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76.840409073445016</c:v>
                      </c:pt>
                      <c:pt idx="4">
                        <c:v>116.63153045787718</c:v>
                      </c:pt>
                      <c:pt idx="5">
                        <c:v>157.0998057921085</c:v>
                      </c:pt>
                      <c:pt idx="6">
                        <c:v>192.9685267779912</c:v>
                      </c:pt>
                      <c:pt idx="7">
                        <c:v>225.52496018553174</c:v>
                      </c:pt>
                      <c:pt idx="8">
                        <c:v>254.13399376024498</c:v>
                      </c:pt>
                      <c:pt idx="9">
                        <c:v>280.09845612316155</c:v>
                      </c:pt>
                      <c:pt idx="10">
                        <c:v>303.33091107763227</c:v>
                      </c:pt>
                      <c:pt idx="11">
                        <c:v>324.23368909839945</c:v>
                      </c:pt>
                      <c:pt idx="12">
                        <c:v>343.42470033402498</c:v>
                      </c:pt>
                      <c:pt idx="13">
                        <c:v>361.65616100786923</c:v>
                      </c:pt>
                      <c:pt idx="14">
                        <c:v>378.92807111993221</c:v>
                      </c:pt>
                      <c:pt idx="15">
                        <c:v>395.24043067021393</c:v>
                      </c:pt>
                      <c:pt idx="16">
                        <c:v>410.59323965871431</c:v>
                      </c:pt>
                      <c:pt idx="17">
                        <c:v>424.98649808543342</c:v>
                      </c:pt>
                      <c:pt idx="18">
                        <c:v>438.42020595037127</c:v>
                      </c:pt>
                      <c:pt idx="19">
                        <c:v>450.89436325352784</c:v>
                      </c:pt>
                      <c:pt idx="20">
                        <c:v>462.40896999490315</c:v>
                      </c:pt>
                      <c:pt idx="21">
                        <c:v>472.96402617449718</c:v>
                      </c:pt>
                      <c:pt idx="22">
                        <c:v>482.55953179230994</c:v>
                      </c:pt>
                      <c:pt idx="23">
                        <c:v>491.19548684834143</c:v>
                      </c:pt>
                      <c:pt idx="24">
                        <c:v>498.87189134259165</c:v>
                      </c:pt>
                      <c:pt idx="25">
                        <c:v>505.58874527506055</c:v>
                      </c:pt>
                      <c:pt idx="26">
                        <c:v>511.34604864574817</c:v>
                      </c:pt>
                      <c:pt idx="27">
                        <c:v>516.14380145465452</c:v>
                      </c:pt>
                      <c:pt idx="28">
                        <c:v>519.9820037017796</c:v>
                      </c:pt>
                      <c:pt idx="29">
                        <c:v>522.86065538712342</c:v>
                      </c:pt>
                      <c:pt idx="30">
                        <c:v>524.77975651068596</c:v>
                      </c:pt>
                      <c:pt idx="31">
                        <c:v>525.73930707246723</c:v>
                      </c:pt>
                      <c:pt idx="32">
                        <c:v>525.73930707246723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8B1A-4427-8CBD-03CD931E8BD0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GasesSummary!$K$62</c15:sqref>
                        </c15:formulaRef>
                      </c:ext>
                    </c:extLst>
                    <c:strCache>
                      <c:ptCount val="1"/>
                      <c:pt idx="0">
                        <c:v>CH4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GasesSummary!$K$63:$K$95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1.793918446691122</c:v>
                      </c:pt>
                      <c:pt idx="5">
                        <c:v>2.3554887977144854</c:v>
                      </c:pt>
                      <c:pt idx="6">
                        <c:v>2.8867973870714465</c:v>
                      </c:pt>
                      <c:pt idx="7">
                        <c:v>3.3921932426552197</c:v>
                      </c:pt>
                      <c:pt idx="8">
                        <c:v>3.8673851144186622</c:v>
                      </c:pt>
                      <c:pt idx="9">
                        <c:v>4.3170827447625886</c:v>
                      </c:pt>
                      <c:pt idx="10">
                        <c:v>4.7397591979720932</c:v>
                      </c:pt>
                      <c:pt idx="11">
                        <c:v>5.136239897251845</c:v>
                      </c:pt>
                      <c:pt idx="12">
                        <c:v>5.5084346742561294</c:v>
                      </c:pt>
                      <c:pt idx="13">
                        <c:v>5.8806294512604138</c:v>
                      </c:pt>
                      <c:pt idx="14">
                        <c:v>6.2528242282646982</c:v>
                      </c:pt>
                      <c:pt idx="15">
                        <c:v>6.6250190052689826</c:v>
                      </c:pt>
                      <c:pt idx="16">
                        <c:v>6.997213782273267</c:v>
                      </c:pt>
                      <c:pt idx="17">
                        <c:v>7.3694085592775513</c:v>
                      </c:pt>
                      <c:pt idx="18">
                        <c:v>7.7416033362818357</c:v>
                      </c:pt>
                      <c:pt idx="19">
                        <c:v>8.1137981132861192</c:v>
                      </c:pt>
                      <c:pt idx="20">
                        <c:v>8.4859928902904027</c:v>
                      </c:pt>
                      <c:pt idx="21">
                        <c:v>8.8581876672946862</c:v>
                      </c:pt>
                      <c:pt idx="22">
                        <c:v>9.2303824442989697</c:v>
                      </c:pt>
                      <c:pt idx="23">
                        <c:v>9.6025772213032532</c:v>
                      </c:pt>
                      <c:pt idx="24">
                        <c:v>9.9747719983075367</c:v>
                      </c:pt>
                      <c:pt idx="25">
                        <c:v>10.34696677531182</c:v>
                      </c:pt>
                      <c:pt idx="26">
                        <c:v>10.719161552316104</c:v>
                      </c:pt>
                      <c:pt idx="27">
                        <c:v>11.091356329320387</c:v>
                      </c:pt>
                      <c:pt idx="28">
                        <c:v>11.463551106324671</c:v>
                      </c:pt>
                      <c:pt idx="29">
                        <c:v>11.835745883328954</c:v>
                      </c:pt>
                      <c:pt idx="30">
                        <c:v>12.207940660333238</c:v>
                      </c:pt>
                      <c:pt idx="31">
                        <c:v>12.580135437337521</c:v>
                      </c:pt>
                      <c:pt idx="32">
                        <c:v>12.952330214341805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B1A-4427-8CBD-03CD931E8BD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GasesSummary!$L$62</c15:sqref>
                        </c15:formulaRef>
                      </c:ext>
                    </c:extLst>
                    <c:strCache>
                      <c:ptCount val="1"/>
                      <c:pt idx="0">
                        <c:v>N2O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GasesSummary!$L$63:$L$95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7.1792359921661691E-2</c:v>
                      </c:pt>
                      <c:pt idx="5">
                        <c:v>9.4560006985588835E-2</c:v>
                      </c:pt>
                      <c:pt idx="6">
                        <c:v>0.11602108082651941</c:v>
                      </c:pt>
                      <c:pt idx="7">
                        <c:v>0.1364899660716733</c:v>
                      </c:pt>
                      <c:pt idx="8">
                        <c:v>0.15565645476665149</c:v>
                      </c:pt>
                      <c:pt idx="9">
                        <c:v>0.17386100704308294</c:v>
                      </c:pt>
                      <c:pt idx="10">
                        <c:v>0.19099324303509732</c:v>
                      </c:pt>
                      <c:pt idx="11">
                        <c:v>0.20711283133366953</c:v>
                      </c:pt>
                      <c:pt idx="12">
                        <c:v>0.22235783077112431</c:v>
                      </c:pt>
                      <c:pt idx="13">
                        <c:v>0.23760283020857909</c:v>
                      </c:pt>
                      <c:pt idx="14">
                        <c:v>0.25284782964603386</c:v>
                      </c:pt>
                      <c:pt idx="15">
                        <c:v>0.26809282908348864</c:v>
                      </c:pt>
                      <c:pt idx="16">
                        <c:v>0.28333782852094341</c:v>
                      </c:pt>
                      <c:pt idx="17">
                        <c:v>0.29858282795839819</c:v>
                      </c:pt>
                      <c:pt idx="18">
                        <c:v>0.31382782739585297</c:v>
                      </c:pt>
                      <c:pt idx="19">
                        <c:v>0.32907282683330774</c:v>
                      </c:pt>
                      <c:pt idx="20">
                        <c:v>0.34431782627076252</c:v>
                      </c:pt>
                      <c:pt idx="21">
                        <c:v>0.35956282570821729</c:v>
                      </c:pt>
                      <c:pt idx="22">
                        <c:v>0.37480782514567207</c:v>
                      </c:pt>
                      <c:pt idx="23">
                        <c:v>0.39005282458312684</c:v>
                      </c:pt>
                      <c:pt idx="24">
                        <c:v>0.40529782402058162</c:v>
                      </c:pt>
                      <c:pt idx="25">
                        <c:v>0.4205428234580364</c:v>
                      </c:pt>
                      <c:pt idx="26">
                        <c:v>0.43578782289549117</c:v>
                      </c:pt>
                      <c:pt idx="27">
                        <c:v>0.45103282233294595</c:v>
                      </c:pt>
                      <c:pt idx="28">
                        <c:v>0.46627782177040072</c:v>
                      </c:pt>
                      <c:pt idx="29">
                        <c:v>0.4815228212078555</c:v>
                      </c:pt>
                      <c:pt idx="30">
                        <c:v>0.49676782064531028</c:v>
                      </c:pt>
                      <c:pt idx="31">
                        <c:v>0.51201282008276505</c:v>
                      </c:pt>
                      <c:pt idx="32">
                        <c:v>0.52725781952021988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B1A-4427-8CBD-03CD931E8BD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GasesSummary!$M$63:$M$95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50.229716507351412</c:v>
                      </c:pt>
                      <c:pt idx="5">
                        <c:v>65.953686336005589</c:v>
                      </c:pt>
                      <c:pt idx="6">
                        <c:v>80.830326838000502</c:v>
                      </c:pt>
                      <c:pt idx="7">
                        <c:v>94.981410794346147</c:v>
                      </c:pt>
                      <c:pt idx="8">
                        <c:v>108.28678320372254</c:v>
                      </c:pt>
                      <c:pt idx="9">
                        <c:v>120.87831685335246</c:v>
                      </c:pt>
                      <c:pt idx="10">
                        <c:v>132.71325754321859</c:v>
                      </c:pt>
                      <c:pt idx="11">
                        <c:v>143.81471712305165</c:v>
                      </c:pt>
                      <c:pt idx="12">
                        <c:v>154.2361708791716</c:v>
                      </c:pt>
                      <c:pt idx="13">
                        <c:v>164.65762463529154</c:v>
                      </c:pt>
                      <c:pt idx="14">
                        <c:v>175.07907839141149</c:v>
                      </c:pt>
                      <c:pt idx="15">
                        <c:v>185.50053214753143</c:v>
                      </c:pt>
                      <c:pt idx="16">
                        <c:v>195.92198590365138</c:v>
                      </c:pt>
                      <c:pt idx="17">
                        <c:v>206.34343965977132</c:v>
                      </c:pt>
                      <c:pt idx="18">
                        <c:v>216.76489341589127</c:v>
                      </c:pt>
                      <c:pt idx="19">
                        <c:v>227.18634717201121</c:v>
                      </c:pt>
                      <c:pt idx="20">
                        <c:v>237.60780092813116</c:v>
                      </c:pt>
                      <c:pt idx="21">
                        <c:v>248.0292546842511</c:v>
                      </c:pt>
                      <c:pt idx="22">
                        <c:v>258.45070844037105</c:v>
                      </c:pt>
                      <c:pt idx="23">
                        <c:v>268.87216219649099</c:v>
                      </c:pt>
                      <c:pt idx="24">
                        <c:v>279.29361595261093</c:v>
                      </c:pt>
                      <c:pt idx="25">
                        <c:v>289.71506970873088</c:v>
                      </c:pt>
                      <c:pt idx="26">
                        <c:v>300.13652346485082</c:v>
                      </c:pt>
                      <c:pt idx="27">
                        <c:v>310.55797722097077</c:v>
                      </c:pt>
                      <c:pt idx="28">
                        <c:v>320.97943097709071</c:v>
                      </c:pt>
                      <c:pt idx="29">
                        <c:v>331.40088473321066</c:v>
                      </c:pt>
                      <c:pt idx="30">
                        <c:v>341.8223384893306</c:v>
                      </c:pt>
                      <c:pt idx="31">
                        <c:v>352.24379224545055</c:v>
                      </c:pt>
                      <c:pt idx="32">
                        <c:v>362.66524600157049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B1A-4427-8CBD-03CD931E8BD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GasesSummary!$O$62</c15:sqref>
                        </c15:formulaRef>
                      </c:ext>
                    </c:extLst>
                    <c:strCache>
                      <c:ptCount val="1"/>
                      <c:pt idx="0">
                        <c:v>GWP100 E57%-A40%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GasesSummary!$O$63:$O$95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123.64083710558491</c:v>
                      </c:pt>
                      <c:pt idx="4">
                        <c:v>185.88622234446893</c:v>
                      </c:pt>
                      <c:pt idx="5">
                        <c:v>248.11189397929513</c:v>
                      </c:pt>
                      <c:pt idx="6">
                        <c:v>304.54444003501936</c:v>
                      </c:pt>
                      <c:pt idx="7">
                        <c:v>356.67621198887133</c:v>
                      </c:pt>
                      <c:pt idx="8">
                        <c:v>403.66973747713018</c:v>
                      </c:pt>
                      <c:pt idx="9">
                        <c:v>447.04993984293105</c:v>
                      </c:pt>
                      <c:pt idx="10">
                        <c:v>486.65737802515167</c:v>
                      </c:pt>
                      <c:pt idx="11">
                        <c:v>522.93330652487361</c:v>
                      </c:pt>
                      <c:pt idx="12">
                        <c:v>556.58569636754464</c:v>
                      </c:pt>
                      <c:pt idx="13">
                        <c:v>589.07653940588807</c:v>
                      </c:pt>
                      <c:pt idx="14">
                        <c:v>620.4058356399039</c:v>
                      </c:pt>
                      <c:pt idx="15">
                        <c:v>650.57358506959224</c:v>
                      </c:pt>
                      <c:pt idx="16">
                        <c:v>679.57978769495298</c:v>
                      </c:pt>
                      <c:pt idx="17">
                        <c:v>707.42444351598624</c:v>
                      </c:pt>
                      <c:pt idx="18">
                        <c:v>734.1075525326919</c:v>
                      </c:pt>
                      <c:pt idx="19">
                        <c:v>759.62911474507007</c:v>
                      </c:pt>
                      <c:pt idx="20">
                        <c:v>783.98913015312064</c:v>
                      </c:pt>
                      <c:pt idx="21">
                        <c:v>807.18759875684361</c:v>
                      </c:pt>
                      <c:pt idx="22">
                        <c:v>829.2245205562391</c:v>
                      </c:pt>
                      <c:pt idx="23">
                        <c:v>850.09989555130699</c:v>
                      </c:pt>
                      <c:pt idx="24">
                        <c:v>869.81372374204739</c:v>
                      </c:pt>
                      <c:pt idx="25">
                        <c:v>888.36600512846019</c:v>
                      </c:pt>
                      <c:pt idx="26">
                        <c:v>905.75673971054539</c:v>
                      </c:pt>
                      <c:pt idx="27">
                        <c:v>921.9859274883031</c:v>
                      </c:pt>
                      <c:pt idx="28">
                        <c:v>937.05356846173322</c:v>
                      </c:pt>
                      <c:pt idx="29">
                        <c:v>950.95966263083585</c:v>
                      </c:pt>
                      <c:pt idx="30">
                        <c:v>963.70420999561088</c:v>
                      </c:pt>
                      <c:pt idx="31">
                        <c:v>975.28721055605843</c:v>
                      </c:pt>
                      <c:pt idx="32">
                        <c:v>985.70866431217837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1A-4427-8CBD-03CD931E8BD0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GasesSummary!$P$63:$P$95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B1A-4427-8CBD-03CD931E8BD0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GasesSummary!$Q$63:$Q$95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1A-4427-8CBD-03CD931E8BD0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GasesSummary!$R$62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GasesSummary!$R$63:$R$95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-0.20199624254627588</c:v>
                      </c:pt>
                      <c:pt idx="14">
                        <c:v>-0.60598872763882761</c:v>
                      </c:pt>
                      <c:pt idx="15">
                        <c:v>-1.2119774552776552</c:v>
                      </c:pt>
                      <c:pt idx="16">
                        <c:v>-2.0199624254627588</c:v>
                      </c:pt>
                      <c:pt idx="17">
                        <c:v>-3.0299436381941383</c:v>
                      </c:pt>
                      <c:pt idx="18">
                        <c:v>-4.2419210934717935</c:v>
                      </c:pt>
                      <c:pt idx="19">
                        <c:v>-5.655894791295724</c:v>
                      </c:pt>
                      <c:pt idx="20">
                        <c:v>-7.2718647316659304</c:v>
                      </c:pt>
                      <c:pt idx="21">
                        <c:v>-9.0898309145824125</c:v>
                      </c:pt>
                      <c:pt idx="22">
                        <c:v>-11.10979334004517</c:v>
                      </c:pt>
                      <c:pt idx="23">
                        <c:v>-13.331752008054204</c:v>
                      </c:pt>
                      <c:pt idx="24">
                        <c:v>-15.755706918609514</c:v>
                      </c:pt>
                      <c:pt idx="25">
                        <c:v>-18.381658071711101</c:v>
                      </c:pt>
                      <c:pt idx="26">
                        <c:v>-21.209605467358962</c:v>
                      </c:pt>
                      <c:pt idx="27">
                        <c:v>-24.239549105553099</c:v>
                      </c:pt>
                      <c:pt idx="28">
                        <c:v>-27.471488986293512</c:v>
                      </c:pt>
                      <c:pt idx="29">
                        <c:v>-30.9054251095802</c:v>
                      </c:pt>
                      <c:pt idx="30">
                        <c:v>-34.541357475413164</c:v>
                      </c:pt>
                      <c:pt idx="31">
                        <c:v>-38.379286083792408</c:v>
                      </c:pt>
                      <c:pt idx="32">
                        <c:v>-42.419210934717924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1A-4427-8CBD-03CD931E8BD0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>
                    <a:solidFill>
                      <a:schemeClr val="accent4">
                        <a:lumMod val="6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GasesSummary!$S$63:$S$95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B1A-4427-8CBD-03CD931E8BD0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GasesSummary!$T$62</c15:sqref>
                        </c15:formulaRef>
                      </c:ext>
                    </c:extLst>
                    <c:strCache>
                      <c:ptCount val="1"/>
                      <c:pt idx="0">
                        <c:v>CO2 E51%A51%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GasesSummary!$T$63:$T$95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76.846034729541145</c:v>
                      </c:pt>
                      <c:pt idx="4">
                        <c:v>116.64840742616545</c:v>
                      </c:pt>
                      <c:pt idx="5">
                        <c:v>157.13355972868493</c:v>
                      </c:pt>
                      <c:pt idx="6">
                        <c:v>193.61564039147558</c:v>
                      </c:pt>
                      <c:pt idx="7">
                        <c:v>227.27484159512449</c:v>
                      </c:pt>
                      <c:pt idx="8">
                        <c:v>257.3855243868191</c:v>
                      </c:pt>
                      <c:pt idx="9">
                        <c:v>285.17069814820456</c:v>
                      </c:pt>
                      <c:pt idx="10">
                        <c:v>310.47478830754676</c:v>
                      </c:pt>
                      <c:pt idx="11">
                        <c:v>333.64269442344465</c:v>
                      </c:pt>
                      <c:pt idx="12">
                        <c:v>355.24170956582549</c:v>
                      </c:pt>
                      <c:pt idx="13">
                        <c:v>375.76077395108729</c:v>
                      </c:pt>
                      <c:pt idx="14">
                        <c:v>395.19988757923011</c:v>
                      </c:pt>
                      <c:pt idx="15">
                        <c:v>413.55905045025384</c:v>
                      </c:pt>
                      <c:pt idx="16">
                        <c:v>430.83826256415853</c:v>
                      </c:pt>
                      <c:pt idx="17">
                        <c:v>447.03752392094418</c:v>
                      </c:pt>
                      <c:pt idx="18">
                        <c:v>462.1568345206108</c:v>
                      </c:pt>
                      <c:pt idx="19">
                        <c:v>476.19619436315838</c:v>
                      </c:pt>
                      <c:pt idx="20">
                        <c:v>489.15560344858687</c:v>
                      </c:pt>
                      <c:pt idx="21">
                        <c:v>501.03506177689633</c:v>
                      </c:pt>
                      <c:pt idx="22">
                        <c:v>511.83456934808675</c:v>
                      </c:pt>
                      <c:pt idx="23">
                        <c:v>521.55412616215813</c:v>
                      </c:pt>
                      <c:pt idx="24">
                        <c:v>530.19373221911042</c:v>
                      </c:pt>
                      <c:pt idx="25">
                        <c:v>537.75338751894367</c:v>
                      </c:pt>
                      <c:pt idx="26">
                        <c:v>544.23309206165789</c:v>
                      </c:pt>
                      <c:pt idx="27">
                        <c:v>549.63284584725307</c:v>
                      </c:pt>
                      <c:pt idx="28">
                        <c:v>553.95264887572921</c:v>
                      </c:pt>
                      <c:pt idx="29">
                        <c:v>557.19250114708632</c:v>
                      </c:pt>
                      <c:pt idx="30">
                        <c:v>559.35240266132439</c:v>
                      </c:pt>
                      <c:pt idx="31">
                        <c:v>560.43235341844343</c:v>
                      </c:pt>
                      <c:pt idx="32">
                        <c:v>560.43235341844343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B1A-4427-8CBD-03CD931E8BD0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GasesSummary!$U$62</c15:sqref>
                        </c15:formulaRef>
                      </c:ext>
                    </c:extLst>
                    <c:strCache>
                      <c:ptCount val="1"/>
                      <c:pt idx="0">
                        <c:v>CH4 E51%A51%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GasesSummary!$U$63:$U$95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1.7865169934403557</c:v>
                      </c:pt>
                      <c:pt idx="5">
                        <c:v>2.3332844379621869</c:v>
                      </c:pt>
                      <c:pt idx="6">
                        <c:v>2.8423886675668495</c:v>
                      </c:pt>
                      <c:pt idx="7">
                        <c:v>3.3181787101475582</c:v>
                      </c:pt>
                      <c:pt idx="8">
                        <c:v>3.7563633156571701</c:v>
                      </c:pt>
                      <c:pt idx="9">
                        <c:v>4.161652226496499</c:v>
                      </c:pt>
                      <c:pt idx="10">
                        <c:v>4.5325185069506402</c:v>
                      </c:pt>
                      <c:pt idx="11">
                        <c:v>4.8697875802242629</c:v>
                      </c:pt>
                      <c:pt idx="12">
                        <c:v>5.1753692779716509</c:v>
                      </c:pt>
                      <c:pt idx="13">
                        <c:v>5.4809509757190398</c:v>
                      </c:pt>
                      <c:pt idx="14">
                        <c:v>5.7865326734664286</c:v>
                      </c:pt>
                      <c:pt idx="15">
                        <c:v>6.0921143712138175</c:v>
                      </c:pt>
                      <c:pt idx="16">
                        <c:v>6.3976960689612064</c:v>
                      </c:pt>
                      <c:pt idx="17">
                        <c:v>6.7032777667085952</c:v>
                      </c:pt>
                      <c:pt idx="18">
                        <c:v>7.0088594644559841</c:v>
                      </c:pt>
                      <c:pt idx="19">
                        <c:v>7.3144411622033729</c:v>
                      </c:pt>
                      <c:pt idx="20">
                        <c:v>7.6200228599507618</c:v>
                      </c:pt>
                      <c:pt idx="21">
                        <c:v>7.9256045576981506</c:v>
                      </c:pt>
                      <c:pt idx="22">
                        <c:v>8.2311862554455395</c:v>
                      </c:pt>
                      <c:pt idx="23">
                        <c:v>8.5367679531929284</c:v>
                      </c:pt>
                      <c:pt idx="24">
                        <c:v>8.8423496509403172</c:v>
                      </c:pt>
                      <c:pt idx="25">
                        <c:v>9.1479313486877061</c:v>
                      </c:pt>
                      <c:pt idx="26">
                        <c:v>9.4535130464350949</c:v>
                      </c:pt>
                      <c:pt idx="27">
                        <c:v>9.7590947441824838</c:v>
                      </c:pt>
                      <c:pt idx="28">
                        <c:v>10.064676441929873</c:v>
                      </c:pt>
                      <c:pt idx="29">
                        <c:v>10.370258139677262</c:v>
                      </c:pt>
                      <c:pt idx="30">
                        <c:v>10.67583983742465</c:v>
                      </c:pt>
                      <c:pt idx="31">
                        <c:v>10.981421535172039</c:v>
                      </c:pt>
                      <c:pt idx="32">
                        <c:v>11.287003232919428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B1A-4427-8CBD-03CD931E8BD0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GasesSummary!$V$62</c15:sqref>
                        </c15:formulaRef>
                      </c:ext>
                    </c:extLst>
                    <c:strCache>
                      <c:ptCount val="1"/>
                      <c:pt idx="0">
                        <c:v>N2O E51%A0%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GasesSummary!$V$63:$V$95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7.1494846686875071E-2</c:v>
                      </c:pt>
                      <c:pt idx="5">
                        <c:v>9.3667467281229003E-2</c:v>
                      </c:pt>
                      <c:pt idx="6">
                        <c:v>0.11423600141779974</c:v>
                      </c:pt>
                      <c:pt idx="7">
                        <c:v>0.13351483372380721</c:v>
                      </c:pt>
                      <c:pt idx="8">
                        <c:v>0.15119375624485237</c:v>
                      </c:pt>
                      <c:pt idx="9">
                        <c:v>0.16761322911256415</c:v>
                      </c:pt>
                      <c:pt idx="10">
                        <c:v>0.18266287246107227</c:v>
                      </c:pt>
                      <c:pt idx="11">
                        <c:v>0.1964023548813516</c:v>
                      </c:pt>
                      <c:pt idx="12">
                        <c:v>0.2089697352057269</c:v>
                      </c:pt>
                      <c:pt idx="13">
                        <c:v>0.22153711553010219</c:v>
                      </c:pt>
                      <c:pt idx="14">
                        <c:v>0.23410449585447748</c:v>
                      </c:pt>
                      <c:pt idx="15">
                        <c:v>0.24667187617885278</c:v>
                      </c:pt>
                      <c:pt idx="16">
                        <c:v>0.2592392565032281</c:v>
                      </c:pt>
                      <c:pt idx="17">
                        <c:v>0.27180663682760342</c:v>
                      </c:pt>
                      <c:pt idx="18">
                        <c:v>0.28437401715197874</c:v>
                      </c:pt>
                      <c:pt idx="19">
                        <c:v>0.29694139747635406</c:v>
                      </c:pt>
                      <c:pt idx="20">
                        <c:v>0.30950877780072938</c:v>
                      </c:pt>
                      <c:pt idx="21">
                        <c:v>0.32207615812510471</c:v>
                      </c:pt>
                      <c:pt idx="22">
                        <c:v>0.33464353844948003</c:v>
                      </c:pt>
                      <c:pt idx="23">
                        <c:v>0.34721091877385535</c:v>
                      </c:pt>
                      <c:pt idx="24">
                        <c:v>0.35977829909823067</c:v>
                      </c:pt>
                      <c:pt idx="25">
                        <c:v>0.37234567942260599</c:v>
                      </c:pt>
                      <c:pt idx="26">
                        <c:v>0.38491305974698131</c:v>
                      </c:pt>
                      <c:pt idx="27">
                        <c:v>0.39748044007135663</c:v>
                      </c:pt>
                      <c:pt idx="28">
                        <c:v>0.41004782039573195</c:v>
                      </c:pt>
                      <c:pt idx="29">
                        <c:v>0.42261520072010728</c:v>
                      </c:pt>
                      <c:pt idx="30">
                        <c:v>0.4351825810444826</c:v>
                      </c:pt>
                      <c:pt idx="31">
                        <c:v>0.44774996136885792</c:v>
                      </c:pt>
                      <c:pt idx="32">
                        <c:v>0.46031734169323324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B1A-4427-8CBD-03CD931E8BD0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GasesSummary!$W$63:$W$95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50.022475816329958</c:v>
                      </c:pt>
                      <c:pt idx="5">
                        <c:v>65.331964262941227</c:v>
                      </c:pt>
                      <c:pt idx="6">
                        <c:v>79.586882691871779</c:v>
                      </c:pt>
                      <c:pt idx="7">
                        <c:v>92.909003884131621</c:v>
                      </c:pt>
                      <c:pt idx="8">
                        <c:v>105.17817283840074</c:v>
                      </c:pt>
                      <c:pt idx="9">
                        <c:v>116.52626234190195</c:v>
                      </c:pt>
                      <c:pt idx="10">
                        <c:v>126.91051819461791</c:v>
                      </c:pt>
                      <c:pt idx="11">
                        <c:v>136.35405224627934</c:v>
                      </c:pt>
                      <c:pt idx="12">
                        <c:v>144.91033978320621</c:v>
                      </c:pt>
                      <c:pt idx="13">
                        <c:v>153.46662732013309</c:v>
                      </c:pt>
                      <c:pt idx="14">
                        <c:v>162.02291485705996</c:v>
                      </c:pt>
                      <c:pt idx="15">
                        <c:v>170.57920239398683</c:v>
                      </c:pt>
                      <c:pt idx="16">
                        <c:v>179.13548993091371</c:v>
                      </c:pt>
                      <c:pt idx="17">
                        <c:v>187.69177746784058</c:v>
                      </c:pt>
                      <c:pt idx="18">
                        <c:v>196.24806500476745</c:v>
                      </c:pt>
                      <c:pt idx="19">
                        <c:v>204.80435254169433</c:v>
                      </c:pt>
                      <c:pt idx="20">
                        <c:v>213.3606400786212</c:v>
                      </c:pt>
                      <c:pt idx="21">
                        <c:v>221.91692761554808</c:v>
                      </c:pt>
                      <c:pt idx="22">
                        <c:v>230.47321515247495</c:v>
                      </c:pt>
                      <c:pt idx="23">
                        <c:v>239.02950268940182</c:v>
                      </c:pt>
                      <c:pt idx="24">
                        <c:v>247.5857902263287</c:v>
                      </c:pt>
                      <c:pt idx="25">
                        <c:v>256.1420777632556</c:v>
                      </c:pt>
                      <c:pt idx="26">
                        <c:v>264.6983653001825</c:v>
                      </c:pt>
                      <c:pt idx="27">
                        <c:v>273.2546528371094</c:v>
                      </c:pt>
                      <c:pt idx="28">
                        <c:v>281.81094037403631</c:v>
                      </c:pt>
                      <c:pt idx="29">
                        <c:v>290.36722791096321</c:v>
                      </c:pt>
                      <c:pt idx="30">
                        <c:v>298.92351544789011</c:v>
                      </c:pt>
                      <c:pt idx="31">
                        <c:v>307.47980298481701</c:v>
                      </c:pt>
                      <c:pt idx="32">
                        <c:v>316.03609052174392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B1A-4427-8CBD-03CD931E8BD0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GasesSummary!$Y$62</c15:sqref>
                        </c15:formulaRef>
                      </c:ext>
                    </c:extLst>
                    <c:strCache>
                      <c:ptCount val="1"/>
                      <c:pt idx="0">
                        <c:v>GWP100 E51%-A51%</c:v>
                      </c:pt>
                    </c:strCache>
                  </c:strRef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GasesSummary!$Y$63:$Y$95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123.64646276168102</c:v>
                      </c:pt>
                      <c:pt idx="4">
                        <c:v>185.61701761451729</c:v>
                      </c:pt>
                      <c:pt idx="5">
                        <c:v>247.28740282115183</c:v>
                      </c:pt>
                      <c:pt idx="6">
                        <c:v>303.4750634590643</c:v>
                      </c:pt>
                      <c:pt idx="7">
                        <c:v>355.56527641606499</c:v>
                      </c:pt>
                      <c:pt idx="8">
                        <c:v>402.63004263010566</c:v>
                      </c:pt>
                      <c:pt idx="9">
                        <c:v>446.11446620493598</c:v>
                      </c:pt>
                      <c:pt idx="10">
                        <c:v>485.79096770434876</c:v>
                      </c:pt>
                      <c:pt idx="11">
                        <c:v>522.04337071328212</c:v>
                      </c:pt>
                      <c:pt idx="12">
                        <c:v>555.52902917854931</c:v>
                      </c:pt>
                      <c:pt idx="13">
                        <c:v>587.76821909739942</c:v>
                      </c:pt>
                      <c:pt idx="14">
                        <c:v>618.76094046983258</c:v>
                      </c:pt>
                      <c:pt idx="15">
                        <c:v>648.50719329584877</c:v>
                      </c:pt>
                      <c:pt idx="16">
                        <c:v>677.00697757544788</c:v>
                      </c:pt>
                      <c:pt idx="17">
                        <c:v>704.26029330863003</c:v>
                      </c:pt>
                      <c:pt idx="18">
                        <c:v>730.2671404953951</c:v>
                      </c:pt>
                      <c:pt idx="19">
                        <c:v>755.0275191357432</c:v>
                      </c:pt>
                      <c:pt idx="20">
                        <c:v>778.54142922967424</c:v>
                      </c:pt>
                      <c:pt idx="21">
                        <c:v>800.8088707771883</c:v>
                      </c:pt>
                      <c:pt idx="22">
                        <c:v>821.82984377828529</c:v>
                      </c:pt>
                      <c:pt idx="23">
                        <c:v>841.60434823296532</c:v>
                      </c:pt>
                      <c:pt idx="24">
                        <c:v>860.13238414122827</c:v>
                      </c:pt>
                      <c:pt idx="25">
                        <c:v>877.41395150307426</c:v>
                      </c:pt>
                      <c:pt idx="26">
                        <c:v>893.44905031850328</c:v>
                      </c:pt>
                      <c:pt idx="27">
                        <c:v>908.23768058751523</c:v>
                      </c:pt>
                      <c:pt idx="28">
                        <c:v>921.77984231011021</c:v>
                      </c:pt>
                      <c:pt idx="29">
                        <c:v>934.07553548628812</c:v>
                      </c:pt>
                      <c:pt idx="30">
                        <c:v>945.12476011604906</c:v>
                      </c:pt>
                      <c:pt idx="31">
                        <c:v>954.92751619939293</c:v>
                      </c:pt>
                      <c:pt idx="32">
                        <c:v>963.48380373631983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B1A-4427-8CBD-03CD931E8BD0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GasesSummary!$Z$63:$Z$95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B1A-4427-8CBD-03CD931E8BD0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GasesSummary!$AA$63:$AA$95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B1A-4427-8CBD-03CD931E8BD0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GasesSummary!$AB$62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GasesSummary!$AB$63:$AB$95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-0.16651778929797273</c:v>
                      </c:pt>
                      <c:pt idx="14">
                        <c:v>-0.49955336789391819</c:v>
                      </c:pt>
                      <c:pt idx="15">
                        <c:v>-0.99910673578783638</c:v>
                      </c:pt>
                      <c:pt idx="16">
                        <c:v>-1.6651778929797274</c:v>
                      </c:pt>
                      <c:pt idx="17">
                        <c:v>-2.4977668394695911</c:v>
                      </c:pt>
                      <c:pt idx="18">
                        <c:v>-3.4968735752574274</c:v>
                      </c:pt>
                      <c:pt idx="19">
                        <c:v>-4.6624981003432371</c:v>
                      </c:pt>
                      <c:pt idx="20">
                        <c:v>-5.9946404147270194</c:v>
                      </c:pt>
                      <c:pt idx="21">
                        <c:v>-7.4933005184087742</c:v>
                      </c:pt>
                      <c:pt idx="22">
                        <c:v>-9.1584784113885025</c:v>
                      </c:pt>
                      <c:pt idx="23">
                        <c:v>-10.990174093666203</c:v>
                      </c:pt>
                      <c:pt idx="24">
                        <c:v>-12.988387565241876</c:v>
                      </c:pt>
                      <c:pt idx="25">
                        <c:v>-15.153118826115522</c:v>
                      </c:pt>
                      <c:pt idx="26">
                        <c:v>-17.484367876287141</c:v>
                      </c:pt>
                      <c:pt idx="27">
                        <c:v>-19.982134715756732</c:v>
                      </c:pt>
                      <c:pt idx="28">
                        <c:v>-22.646419344524297</c:v>
                      </c:pt>
                      <c:pt idx="29">
                        <c:v>-25.477221762589835</c:v>
                      </c:pt>
                      <c:pt idx="30">
                        <c:v>-28.474541969953343</c:v>
                      </c:pt>
                      <c:pt idx="31">
                        <c:v>-31.638379966614824</c:v>
                      </c:pt>
                      <c:pt idx="32">
                        <c:v>-34.968735752574275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B1A-4427-8CBD-03CD931E8BD0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25400" cap="rnd">
                    <a:solidFill>
                      <a:schemeClr val="accent2">
                        <a:lumMod val="8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GasesSummary!$AC$63:$AC$95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445.03126424742572</c:v>
                      </c:pt>
                      <c:pt idx="1">
                        <c:v>445.03126424742572</c:v>
                      </c:pt>
                      <c:pt idx="2">
                        <c:v>445.03126424742572</c:v>
                      </c:pt>
                      <c:pt idx="3">
                        <c:v>445.03126424742572</c:v>
                      </c:pt>
                      <c:pt idx="4">
                        <c:v>445.03126424742572</c:v>
                      </c:pt>
                      <c:pt idx="5">
                        <c:v>445.03126424742572</c:v>
                      </c:pt>
                      <c:pt idx="6">
                        <c:v>445.03126424742572</c:v>
                      </c:pt>
                      <c:pt idx="7">
                        <c:v>445.03126424742572</c:v>
                      </c:pt>
                      <c:pt idx="8">
                        <c:v>445.03126424742572</c:v>
                      </c:pt>
                      <c:pt idx="9">
                        <c:v>445.03126424742572</c:v>
                      </c:pt>
                      <c:pt idx="10">
                        <c:v>445.03126424742572</c:v>
                      </c:pt>
                      <c:pt idx="11">
                        <c:v>445.03126424742572</c:v>
                      </c:pt>
                      <c:pt idx="12">
                        <c:v>445.03126424742572</c:v>
                      </c:pt>
                      <c:pt idx="13">
                        <c:v>445.03126424742572</c:v>
                      </c:pt>
                      <c:pt idx="14">
                        <c:v>445.03126424742572</c:v>
                      </c:pt>
                      <c:pt idx="15">
                        <c:v>445.03126424742572</c:v>
                      </c:pt>
                      <c:pt idx="16">
                        <c:v>445.03126424742572</c:v>
                      </c:pt>
                      <c:pt idx="17">
                        <c:v>445.03126424742572</c:v>
                      </c:pt>
                      <c:pt idx="18">
                        <c:v>445.03126424742572</c:v>
                      </c:pt>
                      <c:pt idx="19">
                        <c:v>445.03126424742572</c:v>
                      </c:pt>
                      <c:pt idx="20">
                        <c:v>445.03126424742572</c:v>
                      </c:pt>
                      <c:pt idx="21">
                        <c:v>445.03126424742572</c:v>
                      </c:pt>
                      <c:pt idx="22">
                        <c:v>445.03126424742572</c:v>
                      </c:pt>
                      <c:pt idx="23">
                        <c:v>445.03126424742572</c:v>
                      </c:pt>
                      <c:pt idx="24">
                        <c:v>445.03126424742572</c:v>
                      </c:pt>
                      <c:pt idx="25">
                        <c:v>445.03126424742572</c:v>
                      </c:pt>
                      <c:pt idx="26">
                        <c:v>445.03126424742572</c:v>
                      </c:pt>
                      <c:pt idx="27">
                        <c:v>445.03126424742572</c:v>
                      </c:pt>
                      <c:pt idx="28">
                        <c:v>445.03126424742572</c:v>
                      </c:pt>
                      <c:pt idx="29">
                        <c:v>445.03126424742572</c:v>
                      </c:pt>
                      <c:pt idx="30">
                        <c:v>445.03126424742572</c:v>
                      </c:pt>
                      <c:pt idx="31">
                        <c:v>445.03126424742572</c:v>
                      </c:pt>
                      <c:pt idx="32">
                        <c:v>445.03126424742572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B1A-4427-8CBD-03CD931E8BD0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GasesSummary!$AD$62</c15:sqref>
                        </c15:formulaRef>
                      </c:ext>
                    </c:extLst>
                    <c:strCache>
                      <c:ptCount val="1"/>
                      <c:pt idx="0">
                        <c:v>CO2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GasesSummary!$AD$63:$AD$95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76.836658636047673</c:v>
                      </c:pt>
                      <c:pt idx="4">
                        <c:v>116.62027914568507</c:v>
                      </c:pt>
                      <c:pt idx="5">
                        <c:v>157.07730316772418</c:v>
                      </c:pt>
                      <c:pt idx="6">
                        <c:v>192.49688361418941</c:v>
                      </c:pt>
                      <c:pt idx="7">
                        <c:v>224.25681395341451</c:v>
                      </c:pt>
                      <c:pt idx="8">
                        <c:v>251.79790754886619</c:v>
                      </c:pt>
                      <c:pt idx="9">
                        <c:v>276.48821118058521</c:v>
                      </c:pt>
                      <c:pt idx="10">
                        <c:v>298.29382594663218</c:v>
                      </c:pt>
                      <c:pt idx="11">
                        <c:v>317.66283237359221</c:v>
                      </c:pt>
                      <c:pt idx="12">
                        <c:v>335.2491566082864</c:v>
                      </c:pt>
                      <c:pt idx="13">
                        <c:v>351.95616463124588</c:v>
                      </c:pt>
                      <c:pt idx="14">
                        <c:v>367.78385644247066</c:v>
                      </c:pt>
                      <c:pt idx="15">
                        <c:v>382.73223204196074</c:v>
                      </c:pt>
                      <c:pt idx="16">
                        <c:v>396.80129142971612</c:v>
                      </c:pt>
                      <c:pt idx="17">
                        <c:v>409.99103460573673</c:v>
                      </c:pt>
                      <c:pt idx="18">
                        <c:v>422.3014615700227</c:v>
                      </c:pt>
                      <c:pt idx="19">
                        <c:v>433.7325723225739</c:v>
                      </c:pt>
                      <c:pt idx="20">
                        <c:v>444.2843668633904</c:v>
                      </c:pt>
                      <c:pt idx="21">
                        <c:v>453.9568451924722</c:v>
                      </c:pt>
                      <c:pt idx="22">
                        <c:v>462.7500073098193</c:v>
                      </c:pt>
                      <c:pt idx="23">
                        <c:v>470.66385321543169</c:v>
                      </c:pt>
                      <c:pt idx="24">
                        <c:v>477.69838290930937</c:v>
                      </c:pt>
                      <c:pt idx="25">
                        <c:v>483.85359639145236</c:v>
                      </c:pt>
                      <c:pt idx="26">
                        <c:v>489.12949366186058</c:v>
                      </c:pt>
                      <c:pt idx="27">
                        <c:v>493.52607472053415</c:v>
                      </c:pt>
                      <c:pt idx="28">
                        <c:v>497.04333956747297</c:v>
                      </c:pt>
                      <c:pt idx="29">
                        <c:v>499.68128820267708</c:v>
                      </c:pt>
                      <c:pt idx="30">
                        <c:v>501.43992062614649</c:v>
                      </c:pt>
                      <c:pt idx="31">
                        <c:v>502.31923683788119</c:v>
                      </c:pt>
                      <c:pt idx="32">
                        <c:v>502.31923683788119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B1A-4427-8CBD-03CD931E8BD0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GasesSummary!$AE$62</c15:sqref>
                        </c15:formulaRef>
                      </c:ext>
                    </c:extLst>
                    <c:strCache>
                      <c:ptCount val="1"/>
                      <c:pt idx="0">
                        <c:v>CH4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GasesSummary!$AE$63:$AE$95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1.798628462396155</c:v>
                      </c:pt>
                      <c:pt idx="5">
                        <c:v>2.3696188448295845</c:v>
                      </c:pt>
                      <c:pt idx="6">
                        <c:v>2.9150574813016448</c:v>
                      </c:pt>
                      <c:pt idx="7">
                        <c:v>3.4392933997055501</c:v>
                      </c:pt>
                      <c:pt idx="8">
                        <c:v>3.9380353499941578</c:v>
                      </c:pt>
                      <c:pt idx="9">
                        <c:v>4.4159930745682816</c:v>
                      </c:pt>
                      <c:pt idx="10">
                        <c:v>4.8716396377130167</c:v>
                      </c:pt>
                      <c:pt idx="11">
                        <c:v>5.3058004626330328</c:v>
                      </c:pt>
                      <c:pt idx="12">
                        <c:v>5.7203853809826137</c:v>
                      </c:pt>
                      <c:pt idx="13">
                        <c:v>6.1349702993321946</c:v>
                      </c:pt>
                      <c:pt idx="14">
                        <c:v>6.5495552176817755</c:v>
                      </c:pt>
                      <c:pt idx="15">
                        <c:v>6.9641401360313564</c:v>
                      </c:pt>
                      <c:pt idx="16">
                        <c:v>7.3787250543809373</c:v>
                      </c:pt>
                      <c:pt idx="17">
                        <c:v>7.7933099727305182</c:v>
                      </c:pt>
                      <c:pt idx="18">
                        <c:v>8.2078948910801</c:v>
                      </c:pt>
                      <c:pt idx="19">
                        <c:v>8.6224798094296808</c:v>
                      </c:pt>
                      <c:pt idx="20">
                        <c:v>9.0370647277792617</c:v>
                      </c:pt>
                      <c:pt idx="21">
                        <c:v>9.4516496461288426</c:v>
                      </c:pt>
                      <c:pt idx="22">
                        <c:v>9.8662345644784235</c:v>
                      </c:pt>
                      <c:pt idx="23">
                        <c:v>10.280819482828004</c:v>
                      </c:pt>
                      <c:pt idx="24">
                        <c:v>10.695404401177585</c:v>
                      </c:pt>
                      <c:pt idx="25">
                        <c:v>11.109989319527166</c:v>
                      </c:pt>
                      <c:pt idx="26">
                        <c:v>11.524574237876747</c:v>
                      </c:pt>
                      <c:pt idx="27">
                        <c:v>11.939159156226328</c:v>
                      </c:pt>
                      <c:pt idx="28">
                        <c:v>12.353744074575909</c:v>
                      </c:pt>
                      <c:pt idx="29">
                        <c:v>12.76832899292549</c:v>
                      </c:pt>
                      <c:pt idx="30">
                        <c:v>13.182913911275071</c:v>
                      </c:pt>
                      <c:pt idx="31">
                        <c:v>13.597498829624652</c:v>
                      </c:pt>
                      <c:pt idx="32">
                        <c:v>14.012083747974232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8B1A-4427-8CBD-03CD931E8BD0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GasesSummary!$AF$62</c15:sqref>
                        </c15:formulaRef>
                      </c:ext>
                    </c:extLst>
                    <c:strCache>
                      <c:ptCount val="1"/>
                      <c:pt idx="0">
                        <c:v>N2O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GasesSummary!$AF$63:$AF$95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 formatCode="0.00">
                        <c:v>2.4191018892461238E-2</c:v>
                      </c:pt>
                      <c:pt idx="3" formatCode="0.00">
                        <c:v>4.8479561597467767E-2</c:v>
                      </c:pt>
                      <c:pt idx="4" formatCode="0.00">
                        <c:v>7.1981686525616803E-2</c:v>
                      </c:pt>
                      <c:pt idx="5" formatCode="0.00">
                        <c:v>9.5127986797454184E-2</c:v>
                      </c:pt>
                      <c:pt idx="6" formatCode="0.00">
                        <c:v>0.11715704045025011</c:v>
                      </c:pt>
                      <c:pt idx="7" formatCode="0.00">
                        <c:v>0.13838323211122447</c:v>
                      </c:pt>
                      <c:pt idx="8" formatCode="0.00">
                        <c:v>0.15849635382597824</c:v>
                      </c:pt>
                      <c:pt idx="9" formatCode="0.00">
                        <c:v>0.17783686572614035</c:v>
                      </c:pt>
                      <c:pt idx="10" formatCode="0.00">
                        <c:v>0.19629438794584053</c:v>
                      </c:pt>
                      <c:pt idx="11" formatCode="0.00">
                        <c:v>0.21392858907605367</c:v>
                      </c:pt>
                      <c:pt idx="12" formatCode="0.00">
                        <c:v>0.23087752794910449</c:v>
                      </c:pt>
                      <c:pt idx="13" formatCode="0.00">
                        <c:v>0.24782646682215531</c:v>
                      </c:pt>
                      <c:pt idx="14" formatCode="0.00">
                        <c:v>0.26477540569520613</c:v>
                      </c:pt>
                      <c:pt idx="15" formatCode="0.00">
                        <c:v>0.28172434456825696</c:v>
                      </c:pt>
                      <c:pt idx="16" formatCode="0.00">
                        <c:v>0.29867328344130778</c:v>
                      </c:pt>
                      <c:pt idx="17" formatCode="0.00">
                        <c:v>0.3156222223143586</c:v>
                      </c:pt>
                      <c:pt idx="18" formatCode="0.00">
                        <c:v>0.33257116118740943</c:v>
                      </c:pt>
                      <c:pt idx="19" formatCode="0.00">
                        <c:v>0.34952010006046025</c:v>
                      </c:pt>
                      <c:pt idx="20" formatCode="0.00">
                        <c:v>0.36646903893351107</c:v>
                      </c:pt>
                      <c:pt idx="21" formatCode="0.00">
                        <c:v>0.38341797780656189</c:v>
                      </c:pt>
                      <c:pt idx="22" formatCode="0.00">
                        <c:v>0.40036691667961272</c:v>
                      </c:pt>
                      <c:pt idx="23" formatCode="0.00">
                        <c:v>0.41731585555266354</c:v>
                      </c:pt>
                      <c:pt idx="24" formatCode="0.00">
                        <c:v>0.43426479442571436</c:v>
                      </c:pt>
                      <c:pt idx="25" formatCode="0.00">
                        <c:v>0.45121373329876518</c:v>
                      </c:pt>
                      <c:pt idx="26" formatCode="0.00">
                        <c:v>0.46816267217181601</c:v>
                      </c:pt>
                      <c:pt idx="27" formatCode="0.00">
                        <c:v>0.48511161104486683</c:v>
                      </c:pt>
                      <c:pt idx="28" formatCode="0.00">
                        <c:v>0.5020605499179176</c:v>
                      </c:pt>
                      <c:pt idx="29" formatCode="0.00">
                        <c:v>0.51900948879096842</c:v>
                      </c:pt>
                      <c:pt idx="30" formatCode="0.00">
                        <c:v>0.53595842766401924</c:v>
                      </c:pt>
                      <c:pt idx="31" formatCode="0.00">
                        <c:v>0.55290736653707007</c:v>
                      </c:pt>
                      <c:pt idx="32" formatCode="0.00">
                        <c:v>0.56985630541012089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B1A-4427-8CBD-03CD931E8BD0}"/>
                  </c:ext>
                </c:extLst>
              </c15:ser>
            </c15:filteredScatterSeries>
            <c15:filteredScatte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GasesSummary!$AG$63:$AG$95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50.361596947092337</c:v>
                      </c:pt>
                      <c:pt idx="5">
                        <c:v>66.349327655228365</c:v>
                      </c:pt>
                      <c:pt idx="6">
                        <c:v>81.621609476446054</c:v>
                      </c:pt>
                      <c:pt idx="7">
                        <c:v>96.300215191755399</c:v>
                      </c:pt>
                      <c:pt idx="8">
                        <c:v>110.26498979983641</c:v>
                      </c:pt>
                      <c:pt idx="9">
                        <c:v>123.64780608791189</c:v>
                      </c:pt>
                      <c:pt idx="10">
                        <c:v>136.4059098559645</c:v>
                      </c:pt>
                      <c:pt idx="11">
                        <c:v>148.56241295372496</c:v>
                      </c:pt>
                      <c:pt idx="12">
                        <c:v>160.17079066751324</c:v>
                      </c:pt>
                      <c:pt idx="13">
                        <c:v>171.77916838130153</c:v>
                      </c:pt>
                      <c:pt idx="14">
                        <c:v>183.38754609508982</c:v>
                      </c:pt>
                      <c:pt idx="15">
                        <c:v>194.9959238088781</c:v>
                      </c:pt>
                      <c:pt idx="16">
                        <c:v>206.60430152266639</c:v>
                      </c:pt>
                      <c:pt idx="17">
                        <c:v>218.21267923645468</c:v>
                      </c:pt>
                      <c:pt idx="18">
                        <c:v>229.82105695024296</c:v>
                      </c:pt>
                      <c:pt idx="19">
                        <c:v>241.42943466403125</c:v>
                      </c:pt>
                      <c:pt idx="20">
                        <c:v>253.03781237781953</c:v>
                      </c:pt>
                      <c:pt idx="21">
                        <c:v>264.64619009160782</c:v>
                      </c:pt>
                      <c:pt idx="22">
                        <c:v>276.25456780539611</c:v>
                      </c:pt>
                      <c:pt idx="23">
                        <c:v>287.86294551918439</c:v>
                      </c:pt>
                      <c:pt idx="24">
                        <c:v>299.47132323297268</c:v>
                      </c:pt>
                      <c:pt idx="25">
                        <c:v>311.07970094676097</c:v>
                      </c:pt>
                      <c:pt idx="26">
                        <c:v>322.68807866054925</c:v>
                      </c:pt>
                      <c:pt idx="27">
                        <c:v>334.29645637433754</c:v>
                      </c:pt>
                      <c:pt idx="28">
                        <c:v>345.90483408812582</c:v>
                      </c:pt>
                      <c:pt idx="29">
                        <c:v>357.51321180191411</c:v>
                      </c:pt>
                      <c:pt idx="30">
                        <c:v>369.1215895157024</c:v>
                      </c:pt>
                      <c:pt idx="31">
                        <c:v>380.72996722949068</c:v>
                      </c:pt>
                      <c:pt idx="32">
                        <c:v>392.33834494327897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B1A-4427-8CBD-03CD931E8BD0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GasesSummary!$AI$62</c15:sqref>
                        </c15:formulaRef>
                      </c:ext>
                    </c:extLst>
                    <c:strCache>
                      <c:ptCount val="1"/>
                      <c:pt idx="0">
                        <c:v>GWP100 E61%-A33%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GasesSummary!$AI$63:$AI$95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123.63708666818758</c:v>
                      </c:pt>
                      <c:pt idx="4">
                        <c:v>186.05702302206589</c:v>
                      </c:pt>
                      <c:pt idx="5">
                        <c:v>248.63554732427792</c:v>
                      </c:pt>
                      <c:pt idx="6">
                        <c:v>305.16510880995173</c:v>
                      </c:pt>
                      <c:pt idx="7">
                        <c:v>357.22858565464435</c:v>
                      </c:pt>
                      <c:pt idx="8">
                        <c:v>404.06443111258682</c:v>
                      </c:pt>
                      <c:pt idx="9">
                        <c:v>447.26278668592425</c:v>
                      </c:pt>
                      <c:pt idx="10">
                        <c:v>486.71774860824434</c:v>
                      </c:pt>
                      <c:pt idx="11">
                        <c:v>522.91632143247125</c:v>
                      </c:pt>
                      <c:pt idx="12">
                        <c:v>556.60249218231218</c:v>
                      </c:pt>
                      <c:pt idx="13">
                        <c:v>589.18477328035044</c:v>
                      </c:pt>
                      <c:pt idx="14">
                        <c:v>620.66316472658605</c:v>
                      </c:pt>
                      <c:pt idx="15">
                        <c:v>651.0376665210191</c:v>
                      </c:pt>
                      <c:pt idx="16">
                        <c:v>680.3082786636495</c:v>
                      </c:pt>
                      <c:pt idx="17">
                        <c:v>708.47500115447724</c:v>
                      </c:pt>
                      <c:pt idx="18">
                        <c:v>735.53783399350243</c:v>
                      </c:pt>
                      <c:pt idx="19">
                        <c:v>761.49677718072496</c:v>
                      </c:pt>
                      <c:pt idx="20">
                        <c:v>786.35183071614483</c:v>
                      </c:pt>
                      <c:pt idx="21">
                        <c:v>810.10299459976204</c:v>
                      </c:pt>
                      <c:pt idx="22">
                        <c:v>832.75026883157659</c:v>
                      </c:pt>
                      <c:pt idx="23">
                        <c:v>854.29365341158859</c:v>
                      </c:pt>
                      <c:pt idx="24">
                        <c:v>874.73314833979794</c:v>
                      </c:pt>
                      <c:pt idx="25">
                        <c:v>894.06875361620462</c:v>
                      </c:pt>
                      <c:pt idx="26">
                        <c:v>912.30046924080864</c:v>
                      </c:pt>
                      <c:pt idx="27">
                        <c:v>929.42829521361011</c:v>
                      </c:pt>
                      <c:pt idx="28">
                        <c:v>945.45223153460893</c:v>
                      </c:pt>
                      <c:pt idx="29">
                        <c:v>960.37227820380508</c:v>
                      </c:pt>
                      <c:pt idx="30">
                        <c:v>974.18843522119857</c:v>
                      </c:pt>
                      <c:pt idx="31">
                        <c:v>986.90070258678952</c:v>
                      </c:pt>
                      <c:pt idx="32">
                        <c:v>998.50908030057781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B1A-4427-8CBD-03CD931E8BD0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GasesSummary!$AJ$63:$AJ$95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8B1A-4427-8CBD-03CD931E8BD0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GasesSummary!$AK$63:$AK$95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B1A-4427-8CBD-03CD931E8BD0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GasesSummary!$AL$62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GasesSummary!$AL$63:$AL$95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-0.22457344006792335</c:v>
                      </c:pt>
                      <c:pt idx="14">
                        <c:v>-0.67372032020377004</c:v>
                      </c:pt>
                      <c:pt idx="15">
                        <c:v>-1.3474406404075401</c:v>
                      </c:pt>
                      <c:pt idx="16">
                        <c:v>-2.2457344006792335</c:v>
                      </c:pt>
                      <c:pt idx="17">
                        <c:v>-3.3686016010188502</c:v>
                      </c:pt>
                      <c:pt idx="18">
                        <c:v>-4.7160422414263898</c:v>
                      </c:pt>
                      <c:pt idx="19">
                        <c:v>-6.2880563219018537</c:v>
                      </c:pt>
                      <c:pt idx="20">
                        <c:v>-8.0846438424452405</c:v>
                      </c:pt>
                      <c:pt idx="21">
                        <c:v>-10.10580480305655</c:v>
                      </c:pt>
                      <c:pt idx="22">
                        <c:v>-12.351539203735783</c:v>
                      </c:pt>
                      <c:pt idx="23">
                        <c:v>-14.82184704448294</c:v>
                      </c:pt>
                      <c:pt idx="24">
                        <c:v>-17.516728325298018</c:v>
                      </c:pt>
                      <c:pt idx="25">
                        <c:v>-20.436183046181021</c:v>
                      </c:pt>
                      <c:pt idx="26">
                        <c:v>-23.580211207131949</c:v>
                      </c:pt>
                      <c:pt idx="27">
                        <c:v>-26.948812808150798</c:v>
                      </c:pt>
                      <c:pt idx="28">
                        <c:v>-30.541987849237572</c:v>
                      </c:pt>
                      <c:pt idx="29">
                        <c:v>-34.359736330392266</c:v>
                      </c:pt>
                      <c:pt idx="30">
                        <c:v>-38.402058251614889</c:v>
                      </c:pt>
                      <c:pt idx="31">
                        <c:v>-42.668953612905433</c:v>
                      </c:pt>
                      <c:pt idx="32">
                        <c:v>-47.160422414263898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B1A-4427-8CBD-03CD931E8BD0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GasesSummary!$AM$63:$AM$95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432.83957758573609</c:v>
                      </c:pt>
                      <c:pt idx="1">
                        <c:v>432.83957758573609</c:v>
                      </c:pt>
                      <c:pt idx="2">
                        <c:v>432.83957758573609</c:v>
                      </c:pt>
                      <c:pt idx="3">
                        <c:v>432.83957758573609</c:v>
                      </c:pt>
                      <c:pt idx="4">
                        <c:v>432.83957758573609</c:v>
                      </c:pt>
                      <c:pt idx="5">
                        <c:v>432.83957758573609</c:v>
                      </c:pt>
                      <c:pt idx="6">
                        <c:v>432.83957758573609</c:v>
                      </c:pt>
                      <c:pt idx="7">
                        <c:v>432.83957758573609</c:v>
                      </c:pt>
                      <c:pt idx="8">
                        <c:v>432.83957758573609</c:v>
                      </c:pt>
                      <c:pt idx="9">
                        <c:v>432.83957758573609</c:v>
                      </c:pt>
                      <c:pt idx="10">
                        <c:v>432.83957758573609</c:v>
                      </c:pt>
                      <c:pt idx="11">
                        <c:v>432.83957758573609</c:v>
                      </c:pt>
                      <c:pt idx="12">
                        <c:v>432.83957758573609</c:v>
                      </c:pt>
                      <c:pt idx="13">
                        <c:v>432.83957758573609</c:v>
                      </c:pt>
                      <c:pt idx="14">
                        <c:v>432.83957758573609</c:v>
                      </c:pt>
                      <c:pt idx="15">
                        <c:v>432.83957758573609</c:v>
                      </c:pt>
                      <c:pt idx="16">
                        <c:v>432.83957758573609</c:v>
                      </c:pt>
                      <c:pt idx="17">
                        <c:v>432.83957758573609</c:v>
                      </c:pt>
                      <c:pt idx="18">
                        <c:v>432.83957758573609</c:v>
                      </c:pt>
                      <c:pt idx="19">
                        <c:v>432.83957758573609</c:v>
                      </c:pt>
                      <c:pt idx="20">
                        <c:v>432.83957758573609</c:v>
                      </c:pt>
                      <c:pt idx="21">
                        <c:v>432.83957758573609</c:v>
                      </c:pt>
                      <c:pt idx="22">
                        <c:v>432.83957758573609</c:v>
                      </c:pt>
                      <c:pt idx="23">
                        <c:v>432.83957758573609</c:v>
                      </c:pt>
                      <c:pt idx="24">
                        <c:v>432.83957758573609</c:v>
                      </c:pt>
                      <c:pt idx="25">
                        <c:v>432.83957758573609</c:v>
                      </c:pt>
                      <c:pt idx="26">
                        <c:v>432.83957758573609</c:v>
                      </c:pt>
                      <c:pt idx="27">
                        <c:v>432.83957758573609</c:v>
                      </c:pt>
                      <c:pt idx="28">
                        <c:v>432.83957758573609</c:v>
                      </c:pt>
                      <c:pt idx="29">
                        <c:v>432.83957758573609</c:v>
                      </c:pt>
                      <c:pt idx="30">
                        <c:v>432.83957758573609</c:v>
                      </c:pt>
                      <c:pt idx="31">
                        <c:v>432.83957758573609</c:v>
                      </c:pt>
                      <c:pt idx="32">
                        <c:v>432.83957758573609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8B1A-4427-8CBD-03CD931E8BD0}"/>
                  </c:ext>
                </c:extLst>
              </c15:ser>
            </c15:filteredScatterSeries>
            <c15:filteredScatte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GasesSummary!$AN$62</c15:sqref>
                        </c15:formulaRef>
                      </c:ext>
                    </c:extLst>
                    <c:strCache>
                      <c:ptCount val="1"/>
                      <c:pt idx="0">
                        <c:v>CO2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GasesSummary!$AN$63:$AN$95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76.832908198650273</c:v>
                      </c:pt>
                      <c:pt idx="4">
                        <c:v>116.60902783349296</c:v>
                      </c:pt>
                      <c:pt idx="5">
                        <c:v>157.05480054333992</c:v>
                      </c:pt>
                      <c:pt idx="6">
                        <c:v>191.98435742533653</c:v>
                      </c:pt>
                      <c:pt idx="7">
                        <c:v>222.88840696938615</c:v>
                      </c:pt>
                      <c:pt idx="8">
                        <c:v>249.29926264264137</c:v>
                      </c:pt>
                      <c:pt idx="9">
                        <c:v>272.65992343773638</c:v>
                      </c:pt>
                      <c:pt idx="10">
                        <c:v>292.99781499030848</c:v>
                      </c:pt>
                      <c:pt idx="11">
                        <c:v>310.80968809486069</c:v>
                      </c:pt>
                      <c:pt idx="12">
                        <c:v>326.79035192326518</c:v>
                      </c:pt>
                      <c:pt idx="13">
                        <c:v>341.97198256024944</c:v>
                      </c:pt>
                      <c:pt idx="14">
                        <c:v>356.35458000581349</c:v>
                      </c:pt>
                      <c:pt idx="15">
                        <c:v>369.93814425995731</c:v>
                      </c:pt>
                      <c:pt idx="16">
                        <c:v>382.72267532268091</c:v>
                      </c:pt>
                      <c:pt idx="17">
                        <c:v>394.70817319398429</c:v>
                      </c:pt>
                      <c:pt idx="18">
                        <c:v>405.89463787386745</c:v>
                      </c:pt>
                      <c:pt idx="19">
                        <c:v>416.28206936233039</c:v>
                      </c:pt>
                      <c:pt idx="20">
                        <c:v>425.87046765937311</c:v>
                      </c:pt>
                      <c:pt idx="21">
                        <c:v>434.6598327649956</c:v>
                      </c:pt>
                      <c:pt idx="22">
                        <c:v>442.65016467919781</c:v>
                      </c:pt>
                      <c:pt idx="23">
                        <c:v>449.84146340197987</c:v>
                      </c:pt>
                      <c:pt idx="24">
                        <c:v>456.23372893334169</c:v>
                      </c:pt>
                      <c:pt idx="25">
                        <c:v>461.82696127328325</c:v>
                      </c:pt>
                      <c:pt idx="26">
                        <c:v>466.62116042180463</c:v>
                      </c:pt>
                      <c:pt idx="27">
                        <c:v>470.61632637890574</c:v>
                      </c:pt>
                      <c:pt idx="28">
                        <c:v>473.81245914458663</c:v>
                      </c:pt>
                      <c:pt idx="29">
                        <c:v>476.20955871884729</c:v>
                      </c:pt>
                      <c:pt idx="30">
                        <c:v>477.80762510168773</c:v>
                      </c:pt>
                      <c:pt idx="31">
                        <c:v>478.60665829310796</c:v>
                      </c:pt>
                      <c:pt idx="32">
                        <c:v>478.60665829310796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B1A-4427-8CBD-03CD931E8BD0}"/>
                  </c:ext>
                </c:extLst>
              </c15:ser>
            </c15:filteredScatterSeries>
            <c15:filteredScatte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GasesSummary!$AO$62</c15:sqref>
                        </c15:formulaRef>
                      </c:ext>
                    </c:extLst>
                    <c:strCache>
                      <c:ptCount val="1"/>
                      <c:pt idx="0">
                        <c:v>CH4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GasesSummary!$AO$63:$AO$95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1.8033384781011881</c:v>
                      </c:pt>
                      <c:pt idx="5">
                        <c:v>2.3837488919446836</c:v>
                      </c:pt>
                      <c:pt idx="6">
                        <c:v>2.943317575531843</c:v>
                      </c:pt>
                      <c:pt idx="7">
                        <c:v>3.4863935567558806</c:v>
                      </c:pt>
                      <c:pt idx="8">
                        <c:v>4.0086855855696539</c:v>
                      </c:pt>
                      <c:pt idx="9">
                        <c:v>4.5149034043739764</c:v>
                      </c:pt>
                      <c:pt idx="10">
                        <c:v>5.0035200774539437</c:v>
                      </c:pt>
                      <c:pt idx="11">
                        <c:v>5.4753610280142242</c:v>
                      </c:pt>
                      <c:pt idx="12">
                        <c:v>5.9323360877091025</c:v>
                      </c:pt>
                      <c:pt idx="13">
                        <c:v>6.3893111474039808</c:v>
                      </c:pt>
                      <c:pt idx="14">
                        <c:v>6.846286207098859</c:v>
                      </c:pt>
                      <c:pt idx="15">
                        <c:v>7.3032612667937373</c:v>
                      </c:pt>
                      <c:pt idx="16">
                        <c:v>7.7602363264886156</c:v>
                      </c:pt>
                      <c:pt idx="17">
                        <c:v>8.2172113861834948</c:v>
                      </c:pt>
                      <c:pt idx="18">
                        <c:v>8.6741864458783731</c:v>
                      </c:pt>
                      <c:pt idx="19">
                        <c:v>9.1311615055732513</c:v>
                      </c:pt>
                      <c:pt idx="20">
                        <c:v>9.5881365652681296</c:v>
                      </c:pt>
                      <c:pt idx="21">
                        <c:v>10.045111624963008</c:v>
                      </c:pt>
                      <c:pt idx="22">
                        <c:v>10.502086684657886</c:v>
                      </c:pt>
                      <c:pt idx="23">
                        <c:v>10.959061744352764</c:v>
                      </c:pt>
                      <c:pt idx="24">
                        <c:v>11.416036804047643</c:v>
                      </c:pt>
                      <c:pt idx="25">
                        <c:v>11.873011863742521</c:v>
                      </c:pt>
                      <c:pt idx="26">
                        <c:v>12.329986923437399</c:v>
                      </c:pt>
                      <c:pt idx="27">
                        <c:v>12.786961983132278</c:v>
                      </c:pt>
                      <c:pt idx="28">
                        <c:v>13.243937042827156</c:v>
                      </c:pt>
                      <c:pt idx="29">
                        <c:v>13.700912102522034</c:v>
                      </c:pt>
                      <c:pt idx="30">
                        <c:v>14.157887162216912</c:v>
                      </c:pt>
                      <c:pt idx="31">
                        <c:v>14.614862221911791</c:v>
                      </c:pt>
                      <c:pt idx="32">
                        <c:v>15.071837281606669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8B1A-4427-8CBD-03CD931E8BD0}"/>
                  </c:ext>
                </c:extLst>
              </c15:ser>
            </c15:filteredScatterSeries>
            <c15:filteredScatte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GasesSummary!$AP$62</c15:sqref>
                        </c15:formulaRef>
                      </c:ext>
                    </c:extLst>
                    <c:strCache>
                      <c:ptCount val="1"/>
                      <c:pt idx="0">
                        <c:v>N2O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GasesSummary!$AP$63:$AP$95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7.2171013129571915E-2</c:v>
                      </c:pt>
                      <c:pt idx="5">
                        <c:v>9.5695966609319519E-2</c:v>
                      </c:pt>
                      <c:pt idx="6">
                        <c:v>0.11829300007398079</c:v>
                      </c:pt>
                      <c:pt idx="7">
                        <c:v>0.14027649815077561</c:v>
                      </c:pt>
                      <c:pt idx="8">
                        <c:v>0.16133625288530495</c:v>
                      </c:pt>
                      <c:pt idx="9">
                        <c:v>0.18181272440919777</c:v>
                      </c:pt>
                      <c:pt idx="10">
                        <c:v>0.20159553285658374</c:v>
                      </c:pt>
                      <c:pt idx="11">
                        <c:v>0.2207443468184378</c:v>
                      </c:pt>
                      <c:pt idx="12">
                        <c:v>0.23939722512708467</c:v>
                      </c:pt>
                      <c:pt idx="13">
                        <c:v>0.25805010343573154</c:v>
                      </c:pt>
                      <c:pt idx="14">
                        <c:v>0.27670298174437841</c:v>
                      </c:pt>
                      <c:pt idx="15">
                        <c:v>0.29535586005302528</c:v>
                      </c:pt>
                      <c:pt idx="16">
                        <c:v>0.31400873836167215</c:v>
                      </c:pt>
                      <c:pt idx="17">
                        <c:v>0.33266161667031902</c:v>
                      </c:pt>
                      <c:pt idx="18">
                        <c:v>0.35131449497896589</c:v>
                      </c:pt>
                      <c:pt idx="19">
                        <c:v>0.36996737328761276</c:v>
                      </c:pt>
                      <c:pt idx="20">
                        <c:v>0.38862025159625962</c:v>
                      </c:pt>
                      <c:pt idx="21">
                        <c:v>0.40727312990490649</c:v>
                      </c:pt>
                      <c:pt idx="22">
                        <c:v>0.42592600821355336</c:v>
                      </c:pt>
                      <c:pt idx="23">
                        <c:v>0.44457888652220023</c:v>
                      </c:pt>
                      <c:pt idx="24">
                        <c:v>0.4632317648308471</c:v>
                      </c:pt>
                      <c:pt idx="25">
                        <c:v>0.48188464313949397</c:v>
                      </c:pt>
                      <c:pt idx="26">
                        <c:v>0.50053752144814079</c:v>
                      </c:pt>
                      <c:pt idx="27">
                        <c:v>0.5191903997567876</c:v>
                      </c:pt>
                      <c:pt idx="28">
                        <c:v>0.53784327806543442</c:v>
                      </c:pt>
                      <c:pt idx="29">
                        <c:v>0.55649615637408123</c:v>
                      </c:pt>
                      <c:pt idx="30">
                        <c:v>0.57514903468272804</c:v>
                      </c:pt>
                      <c:pt idx="31">
                        <c:v>0.59380191299137486</c:v>
                      </c:pt>
                      <c:pt idx="32">
                        <c:v>0.61245479130002167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8B1A-4427-8CBD-03CD931E8BD0}"/>
                  </c:ext>
                </c:extLst>
              </c15:ser>
            </c15:filteredScatterSeries>
            <c15:filteredScatte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GasesSummary!$AQ$63:$AQ$95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50.493477386833263</c:v>
                      </c:pt>
                      <c:pt idx="5">
                        <c:v>66.74496897445114</c:v>
                      </c:pt>
                      <c:pt idx="6">
                        <c:v>82.412892114891605</c:v>
                      </c:pt>
                      <c:pt idx="7">
                        <c:v>97.619019589164651</c:v>
                      </c:pt>
                      <c:pt idx="8">
                        <c:v>112.24319639595029</c:v>
                      </c:pt>
                      <c:pt idx="9">
                        <c:v>126.41729532247132</c:v>
                      </c:pt>
                      <c:pt idx="10">
                        <c:v>140.0985621687104</c:v>
                      </c:pt>
                      <c:pt idx="11">
                        <c:v>153.31010878439827</c:v>
                      </c:pt>
                      <c:pt idx="12">
                        <c:v>166.10541045585487</c:v>
                      </c:pt>
                      <c:pt idx="13">
                        <c:v>178.90071212731146</c:v>
                      </c:pt>
                      <c:pt idx="14">
                        <c:v>191.69601379876806</c:v>
                      </c:pt>
                      <c:pt idx="15">
                        <c:v>204.49131547022466</c:v>
                      </c:pt>
                      <c:pt idx="16">
                        <c:v>217.28661714168126</c:v>
                      </c:pt>
                      <c:pt idx="17">
                        <c:v>230.08191881313786</c:v>
                      </c:pt>
                      <c:pt idx="18">
                        <c:v>242.87722048459446</c:v>
                      </c:pt>
                      <c:pt idx="19">
                        <c:v>255.67252215605106</c:v>
                      </c:pt>
                      <c:pt idx="20">
                        <c:v>268.46782382750769</c:v>
                      </c:pt>
                      <c:pt idx="21">
                        <c:v>281.26312549896431</c:v>
                      </c:pt>
                      <c:pt idx="22">
                        <c:v>294.05842717042094</c:v>
                      </c:pt>
                      <c:pt idx="23">
                        <c:v>306.85372884187757</c:v>
                      </c:pt>
                      <c:pt idx="24">
                        <c:v>319.6490305133342</c:v>
                      </c:pt>
                      <c:pt idx="25">
                        <c:v>332.44433218479082</c:v>
                      </c:pt>
                      <c:pt idx="26">
                        <c:v>345.23963385624745</c:v>
                      </c:pt>
                      <c:pt idx="27">
                        <c:v>358.03493552770408</c:v>
                      </c:pt>
                      <c:pt idx="28">
                        <c:v>370.83023719916071</c:v>
                      </c:pt>
                      <c:pt idx="29">
                        <c:v>383.62553887061733</c:v>
                      </c:pt>
                      <c:pt idx="30">
                        <c:v>396.42084054207396</c:v>
                      </c:pt>
                      <c:pt idx="31">
                        <c:v>409.21614221353059</c:v>
                      </c:pt>
                      <c:pt idx="32">
                        <c:v>422.01144388498722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B1A-4427-8CBD-03CD931E8BD0}"/>
                  </c:ext>
                </c:extLst>
              </c15:ser>
            </c15:filteredScatterSeries>
            <c15:filteredScatte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GasesSummary!$AS$62</c15:sqref>
                        </c15:formulaRef>
                      </c:ext>
                    </c:extLst>
                    <c:strCache>
                      <c:ptCount val="1"/>
                      <c:pt idx="0">
                        <c:v>GWP100 E65%-A26%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GasesSummary!$AS$63:$AS$95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123.63333623079016</c:v>
                      </c:pt>
                      <c:pt idx="4">
                        <c:v>186.22782369966279</c:v>
                      </c:pt>
                      <c:pt idx="5">
                        <c:v>249.15920066926074</c:v>
                      </c:pt>
                      <c:pt idx="6">
                        <c:v>305.74489455983303</c:v>
                      </c:pt>
                      <c:pt idx="7">
                        <c:v>357.68069856850633</c:v>
                      </c:pt>
                      <c:pt idx="8">
                        <c:v>404.29656605319747</c:v>
                      </c:pt>
                      <c:pt idx="9">
                        <c:v>447.25759072864514</c:v>
                      </c:pt>
                      <c:pt idx="10">
                        <c:v>486.51919336601361</c:v>
                      </c:pt>
                      <c:pt idx="11">
                        <c:v>522.61704878614501</c:v>
                      </c:pt>
                      <c:pt idx="12">
                        <c:v>556.33602703779752</c:v>
                      </c:pt>
                      <c:pt idx="13">
                        <c:v>589.00882146044023</c:v>
                      </c:pt>
                      <c:pt idx="14">
                        <c:v>620.63543205407314</c:v>
                      </c:pt>
                      <c:pt idx="15">
                        <c:v>651.21585881869623</c:v>
                      </c:pt>
                      <c:pt idx="16">
                        <c:v>680.75010175430953</c:v>
                      </c:pt>
                      <c:pt idx="17">
                        <c:v>709.23816086091313</c:v>
                      </c:pt>
                      <c:pt idx="18">
                        <c:v>736.68003613850692</c:v>
                      </c:pt>
                      <c:pt idx="19">
                        <c:v>763.07572758709091</c:v>
                      </c:pt>
                      <c:pt idx="20">
                        <c:v>788.42523520666509</c:v>
                      </c:pt>
                      <c:pt idx="21">
                        <c:v>812.72855899722947</c:v>
                      </c:pt>
                      <c:pt idx="22">
                        <c:v>835.98569895878404</c:v>
                      </c:pt>
                      <c:pt idx="23">
                        <c:v>858.19665509132881</c:v>
                      </c:pt>
                      <c:pt idx="24">
                        <c:v>879.36142739486377</c:v>
                      </c:pt>
                      <c:pt idx="25">
                        <c:v>899.48001586938892</c:v>
                      </c:pt>
                      <c:pt idx="26">
                        <c:v>918.55242051490427</c:v>
                      </c:pt>
                      <c:pt idx="27">
                        <c:v>936.57864133140981</c:v>
                      </c:pt>
                      <c:pt idx="28">
                        <c:v>953.55867831890555</c:v>
                      </c:pt>
                      <c:pt idx="29">
                        <c:v>969.49253147739159</c:v>
                      </c:pt>
                      <c:pt idx="30">
                        <c:v>984.38020080686783</c:v>
                      </c:pt>
                      <c:pt idx="31">
                        <c:v>998.22168630733427</c:v>
                      </c:pt>
                      <c:pt idx="32">
                        <c:v>1011.0169879787909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8B1A-4427-8CBD-03CD931E8BD0}"/>
                  </c:ext>
                </c:extLst>
              </c15:ser>
            </c15:filteredScatterSeries>
            <c15:filteredScatte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GasesSummary!$AT$63:$AT$95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8B1A-4427-8CBD-03CD931E8BD0}"/>
                  </c:ext>
                </c:extLst>
              </c15:ser>
            </c15:filteredScatterSeries>
            <c15:filteredScatte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GasesSummary!$AU$63:$AU$95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8B1A-4427-8CBD-03CD931E8BD0}"/>
                  </c:ext>
                </c:extLst>
              </c15:ser>
            </c15:filteredScatterSeries>
            <c15:filteredScatte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GasesSummary!$AV$62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GasesSummary!$AV$63:$AV$95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-0.24715063758957084</c:v>
                      </c:pt>
                      <c:pt idx="14">
                        <c:v>-0.74145191276871247</c:v>
                      </c:pt>
                      <c:pt idx="15">
                        <c:v>-1.4829038255374249</c:v>
                      </c:pt>
                      <c:pt idx="16">
                        <c:v>-2.4715063758957081</c:v>
                      </c:pt>
                      <c:pt idx="17">
                        <c:v>-3.7072595638435626</c:v>
                      </c:pt>
                      <c:pt idx="18">
                        <c:v>-5.190163389380988</c:v>
                      </c:pt>
                      <c:pt idx="19">
                        <c:v>-6.9202178525079843</c:v>
                      </c:pt>
                      <c:pt idx="20">
                        <c:v>-8.8974229532245506</c:v>
                      </c:pt>
                      <c:pt idx="21">
                        <c:v>-11.121778691530688</c:v>
                      </c:pt>
                      <c:pt idx="22">
                        <c:v>-13.593285067426397</c:v>
                      </c:pt>
                      <c:pt idx="23">
                        <c:v>-16.311942080911678</c:v>
                      </c:pt>
                      <c:pt idx="24">
                        <c:v>-19.277749731986528</c:v>
                      </c:pt>
                      <c:pt idx="25">
                        <c:v>-22.490708020650949</c:v>
                      </c:pt>
                      <c:pt idx="26">
                        <c:v>-25.95081694690494</c:v>
                      </c:pt>
                      <c:pt idx="27">
                        <c:v>-29.658076510748504</c:v>
                      </c:pt>
                      <c:pt idx="28">
                        <c:v>-33.612486712181635</c:v>
                      </c:pt>
                      <c:pt idx="29">
                        <c:v>-37.814047551204339</c:v>
                      </c:pt>
                      <c:pt idx="30">
                        <c:v>-42.262759027816614</c:v>
                      </c:pt>
                      <c:pt idx="31">
                        <c:v>-46.958621142018458</c:v>
                      </c:pt>
                      <c:pt idx="32">
                        <c:v>-51.901633893809873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8B1A-4427-8CBD-03CD931E8BD0}"/>
                  </c:ext>
                </c:extLst>
              </c15:ser>
            </c15:filteredScatterSeries>
            <c15:filteredScatte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GasesSummary!$AW$63:$AW$95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428.09836610619016</c:v>
                      </c:pt>
                      <c:pt idx="1">
                        <c:v>428.09836610619016</c:v>
                      </c:pt>
                      <c:pt idx="2">
                        <c:v>428.09836610619016</c:v>
                      </c:pt>
                      <c:pt idx="3">
                        <c:v>428.09836610619016</c:v>
                      </c:pt>
                      <c:pt idx="4">
                        <c:v>428.09836610619016</c:v>
                      </c:pt>
                      <c:pt idx="5">
                        <c:v>428.09836610619016</c:v>
                      </c:pt>
                      <c:pt idx="6">
                        <c:v>428.09836610619016</c:v>
                      </c:pt>
                      <c:pt idx="7">
                        <c:v>428.09836610619016</c:v>
                      </c:pt>
                      <c:pt idx="8">
                        <c:v>428.09836610619016</c:v>
                      </c:pt>
                      <c:pt idx="9">
                        <c:v>428.09836610619016</c:v>
                      </c:pt>
                      <c:pt idx="10">
                        <c:v>428.09836610619016</c:v>
                      </c:pt>
                      <c:pt idx="11">
                        <c:v>428.09836610619016</c:v>
                      </c:pt>
                      <c:pt idx="12">
                        <c:v>428.09836610619016</c:v>
                      </c:pt>
                      <c:pt idx="13">
                        <c:v>428.09836610619016</c:v>
                      </c:pt>
                      <c:pt idx="14">
                        <c:v>428.09836610619016</c:v>
                      </c:pt>
                      <c:pt idx="15">
                        <c:v>428.09836610619016</c:v>
                      </c:pt>
                      <c:pt idx="16">
                        <c:v>428.09836610619016</c:v>
                      </c:pt>
                      <c:pt idx="17">
                        <c:v>428.09836610619016</c:v>
                      </c:pt>
                      <c:pt idx="18">
                        <c:v>428.09836610619016</c:v>
                      </c:pt>
                      <c:pt idx="19">
                        <c:v>428.09836610619016</c:v>
                      </c:pt>
                      <c:pt idx="20">
                        <c:v>428.09836610619016</c:v>
                      </c:pt>
                      <c:pt idx="21">
                        <c:v>428.09836610619016</c:v>
                      </c:pt>
                      <c:pt idx="22">
                        <c:v>428.09836610619016</c:v>
                      </c:pt>
                      <c:pt idx="23">
                        <c:v>428.09836610619016</c:v>
                      </c:pt>
                      <c:pt idx="24">
                        <c:v>428.09836610619016</c:v>
                      </c:pt>
                      <c:pt idx="25">
                        <c:v>428.09836610619016</c:v>
                      </c:pt>
                      <c:pt idx="26">
                        <c:v>428.09836610619016</c:v>
                      </c:pt>
                      <c:pt idx="27">
                        <c:v>428.09836610619016</c:v>
                      </c:pt>
                      <c:pt idx="28">
                        <c:v>428.09836610619016</c:v>
                      </c:pt>
                      <c:pt idx="29">
                        <c:v>428.09836610619016</c:v>
                      </c:pt>
                      <c:pt idx="30">
                        <c:v>428.09836610619016</c:v>
                      </c:pt>
                      <c:pt idx="31">
                        <c:v>428.09836610619016</c:v>
                      </c:pt>
                      <c:pt idx="32">
                        <c:v>428.09836610619016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8B1A-4427-8CBD-03CD931E8BD0}"/>
                  </c:ext>
                </c:extLst>
              </c15:ser>
            </c15:filteredScatterSeries>
            <c15:filteredScatte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GasesSummary!$AX$62</c15:sqref>
                        </c15:formulaRef>
                      </c:ext>
                    </c:extLst>
                    <c:strCache>
                      <c:ptCount val="1"/>
                      <c:pt idx="0">
                        <c:v>CO2 E69%A19%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GasesSummary!$AX$63:$AX$95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41.81151164486662</c:v>
                      </c:pt>
                      <c:pt idx="3">
                        <c:v>83.62302328973324</c:v>
                      </c:pt>
                      <c:pt idx="4">
                        <c:v>122.30619666177355</c:v>
                      </c:pt>
                      <c:pt idx="5">
                        <c:v>157.86103176098754</c:v>
                      </c:pt>
                      <c:pt idx="6">
                        <c:v>190.28752858737522</c:v>
                      </c:pt>
                      <c:pt idx="7">
                        <c:v>219.58568714093659</c:v>
                      </c:pt>
                      <c:pt idx="8">
                        <c:v>245.75550742167164</c:v>
                      </c:pt>
                      <c:pt idx="9">
                        <c:v>268.79698942958038</c:v>
                      </c:pt>
                      <c:pt idx="10">
                        <c:v>288.71013316466281</c:v>
                      </c:pt>
                      <c:pt idx="11">
                        <c:v>305.49493862691895</c:v>
                      </c:pt>
                      <c:pt idx="12">
                        <c:v>319.15140581634876</c:v>
                      </c:pt>
                      <c:pt idx="13">
                        <c:v>332.1250496463071</c:v>
                      </c:pt>
                      <c:pt idx="14">
                        <c:v>344.41587011679394</c:v>
                      </c:pt>
                      <c:pt idx="15">
                        <c:v>356.02386722780926</c:v>
                      </c:pt>
                      <c:pt idx="16">
                        <c:v>366.94904097935313</c:v>
                      </c:pt>
                      <c:pt idx="17">
                        <c:v>377.19139137142548</c:v>
                      </c:pt>
                      <c:pt idx="18">
                        <c:v>386.75091840402638</c:v>
                      </c:pt>
                      <c:pt idx="19">
                        <c:v>395.62762207715576</c:v>
                      </c:pt>
                      <c:pt idx="20">
                        <c:v>403.82150239081363</c:v>
                      </c:pt>
                      <c:pt idx="21">
                        <c:v>411.33255934500005</c:v>
                      </c:pt>
                      <c:pt idx="22">
                        <c:v>418.16079293971495</c:v>
                      </c:pt>
                      <c:pt idx="23">
                        <c:v>424.3062031749584</c:v>
                      </c:pt>
                      <c:pt idx="24">
                        <c:v>429.76879005073033</c:v>
                      </c:pt>
                      <c:pt idx="25">
                        <c:v>434.54855356703075</c:v>
                      </c:pt>
                      <c:pt idx="26">
                        <c:v>438.64549372385972</c:v>
                      </c:pt>
                      <c:pt idx="27">
                        <c:v>442.05961052121717</c:v>
                      </c:pt>
                      <c:pt idx="28">
                        <c:v>444.79090395910316</c:v>
                      </c:pt>
                      <c:pt idx="29">
                        <c:v>446.83937403751764</c:v>
                      </c:pt>
                      <c:pt idx="30">
                        <c:v>448.20502075646061</c:v>
                      </c:pt>
                      <c:pt idx="31">
                        <c:v>448.88784411593213</c:v>
                      </c:pt>
                      <c:pt idx="32">
                        <c:v>448.88784411593213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B1A-4427-8CBD-03CD931E8BD0}"/>
                  </c:ext>
                </c:extLst>
              </c15:ser>
            </c15:filteredScatterSeries>
            <c15:filteredScatte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GasesSummary!$AY$62</c15:sqref>
                        </c15:formulaRef>
                      </c:ext>
                    </c:extLst>
                    <c:strCache>
                      <c:ptCount val="1"/>
                      <c:pt idx="0">
                        <c:v>CH4 E69%A19%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GasesSummary!$AY$63:$AY$95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1.8083849234994376</c:v>
                      </c:pt>
                      <c:pt idx="5">
                        <c:v>2.3988882281394321</c:v>
                      </c:pt>
                      <c:pt idx="6">
                        <c:v>2.9735962479213405</c:v>
                      </c:pt>
                      <c:pt idx="7">
                        <c:v>3.5368580107383765</c:v>
                      </c:pt>
                      <c:pt idx="8">
                        <c:v>4.0843822665433978</c:v>
                      </c:pt>
                      <c:pt idx="9">
                        <c:v>4.6208787577372181</c:v>
                      </c:pt>
                      <c:pt idx="10">
                        <c:v>5.1448205486049323</c:v>
                      </c:pt>
                      <c:pt idx="11">
                        <c:v>5.6570330623512097</c:v>
                      </c:pt>
                      <c:pt idx="12">
                        <c:v>6.1594261306303348</c:v>
                      </c:pt>
                      <c:pt idx="13">
                        <c:v>6.6618191989094599</c:v>
                      </c:pt>
                      <c:pt idx="14">
                        <c:v>7.1642122671885851</c:v>
                      </c:pt>
                      <c:pt idx="15">
                        <c:v>7.6666053354677102</c:v>
                      </c:pt>
                      <c:pt idx="16">
                        <c:v>8.1689984037468353</c:v>
                      </c:pt>
                      <c:pt idx="17">
                        <c:v>8.6713914720259613</c:v>
                      </c:pt>
                      <c:pt idx="18">
                        <c:v>9.1737845403050873</c:v>
                      </c:pt>
                      <c:pt idx="19">
                        <c:v>9.6761776085842133</c:v>
                      </c:pt>
                      <c:pt idx="20">
                        <c:v>10.178570676863339</c:v>
                      </c:pt>
                      <c:pt idx="21">
                        <c:v>10.680963745142465</c:v>
                      </c:pt>
                      <c:pt idx="22">
                        <c:v>11.183356813421591</c:v>
                      </c:pt>
                      <c:pt idx="23">
                        <c:v>11.685749881700717</c:v>
                      </c:pt>
                      <c:pt idx="24">
                        <c:v>12.188142949979843</c:v>
                      </c:pt>
                      <c:pt idx="25">
                        <c:v>12.690536018258969</c:v>
                      </c:pt>
                      <c:pt idx="26">
                        <c:v>13.192929086538095</c:v>
                      </c:pt>
                      <c:pt idx="27">
                        <c:v>13.695322154817221</c:v>
                      </c:pt>
                      <c:pt idx="28">
                        <c:v>14.197715223096347</c:v>
                      </c:pt>
                      <c:pt idx="29">
                        <c:v>14.700108291375473</c:v>
                      </c:pt>
                      <c:pt idx="30">
                        <c:v>15.202501359654599</c:v>
                      </c:pt>
                      <c:pt idx="31">
                        <c:v>15.704894427933725</c:v>
                      </c:pt>
                      <c:pt idx="32">
                        <c:v>16.207287496212849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8B1A-4427-8CBD-03CD931E8BD0}"/>
                  </c:ext>
                </c:extLst>
              </c15:ser>
            </c15:filteredScatterSeries>
            <c15:filteredScatte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GasesSummary!$AZ$62</c15:sqref>
                        </c15:formulaRef>
                      </c:ext>
                    </c:extLst>
                    <c:strCache>
                      <c:ptCount val="1"/>
                      <c:pt idx="0">
                        <c:v>N2O E19%A0%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GasesSummary!$AZ$63:$AZ$95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7.2373863062380972E-2</c:v>
                      </c:pt>
                      <c:pt idx="5">
                        <c:v>9.6304516407746676E-2</c:v>
                      </c:pt>
                      <c:pt idx="6">
                        <c:v>0.11951009967083509</c:v>
                      </c:pt>
                      <c:pt idx="7">
                        <c:v>0.1423049974788661</c:v>
                      </c:pt>
                      <c:pt idx="8">
                        <c:v>0.1643790018774407</c:v>
                      </c:pt>
                      <c:pt idx="9">
                        <c:v>0.1860725729981878</c:v>
                      </c:pt>
                      <c:pt idx="10">
                        <c:v>0.20727533097523715</c:v>
                      </c:pt>
                      <c:pt idx="11">
                        <c:v>0.22804694439956358</c:v>
                      </c:pt>
                      <c:pt idx="12">
                        <c:v>0.24852547210349188</c:v>
                      </c:pt>
                      <c:pt idx="13">
                        <c:v>0.26900399980742018</c:v>
                      </c:pt>
                      <c:pt idx="14">
                        <c:v>0.28948252751134851</c:v>
                      </c:pt>
                      <c:pt idx="15">
                        <c:v>0.30996105521527684</c:v>
                      </c:pt>
                      <c:pt idx="16">
                        <c:v>0.33043958291920517</c:v>
                      </c:pt>
                      <c:pt idx="17">
                        <c:v>0.35091811062313349</c:v>
                      </c:pt>
                      <c:pt idx="18">
                        <c:v>0.37139663832706182</c:v>
                      </c:pt>
                      <c:pt idx="19">
                        <c:v>0.39187516603099015</c:v>
                      </c:pt>
                      <c:pt idx="20">
                        <c:v>0.41235369373491848</c:v>
                      </c:pt>
                      <c:pt idx="21">
                        <c:v>0.43283222143884681</c:v>
                      </c:pt>
                      <c:pt idx="22">
                        <c:v>0.45331074914277514</c:v>
                      </c:pt>
                      <c:pt idx="23">
                        <c:v>0.47378927684670347</c:v>
                      </c:pt>
                      <c:pt idx="24">
                        <c:v>0.4942678045506318</c:v>
                      </c:pt>
                      <c:pt idx="25">
                        <c:v>0.51474633225456012</c:v>
                      </c:pt>
                      <c:pt idx="26">
                        <c:v>0.53522485995848845</c:v>
                      </c:pt>
                      <c:pt idx="27">
                        <c:v>0.55570338766241678</c:v>
                      </c:pt>
                      <c:pt idx="28">
                        <c:v>0.57618191536634511</c:v>
                      </c:pt>
                      <c:pt idx="29">
                        <c:v>0.59666044307027344</c:v>
                      </c:pt>
                      <c:pt idx="30">
                        <c:v>0.61713897077420177</c:v>
                      </c:pt>
                      <c:pt idx="31">
                        <c:v>0.6376174984781301</c:v>
                      </c:pt>
                      <c:pt idx="32">
                        <c:v>0.65809602618205842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8B1A-4427-8CBD-03CD931E8BD0}"/>
                  </c:ext>
                </c:extLst>
              </c15:ser>
            </c15:filteredScatterSeries>
            <c15:filteredScatte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GasesSummary!$BA$63:$BA$95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50.634777857984247</c:v>
                      </c:pt>
                      <c:pt idx="5">
                        <c:v>67.168870387904093</c:v>
                      </c:pt>
                      <c:pt idx="6">
                        <c:v>83.260694941797524</c:v>
                      </c:pt>
                      <c:pt idx="7">
                        <c:v>99.032024300674536</c:v>
                      </c:pt>
                      <c:pt idx="8">
                        <c:v>114.36270346321513</c:v>
                      </c:pt>
                      <c:pt idx="9">
                        <c:v>129.38460521664209</c:v>
                      </c:pt>
                      <c:pt idx="10">
                        <c:v>144.05497536093807</c:v>
                      </c:pt>
                      <c:pt idx="11">
                        <c:v>158.39692574583384</c:v>
                      </c:pt>
                      <c:pt idx="12">
                        <c:v>172.46393165764934</c:v>
                      </c:pt>
                      <c:pt idx="13">
                        <c:v>186.53093756946484</c:v>
                      </c:pt>
                      <c:pt idx="14">
                        <c:v>200.59794348128034</c:v>
                      </c:pt>
                      <c:pt idx="15">
                        <c:v>214.66494939309584</c:v>
                      </c:pt>
                      <c:pt idx="16">
                        <c:v>228.73195530491134</c:v>
                      </c:pt>
                      <c:pt idx="17">
                        <c:v>242.79896121672684</c:v>
                      </c:pt>
                      <c:pt idx="18">
                        <c:v>256.86596712854237</c:v>
                      </c:pt>
                      <c:pt idx="19">
                        <c:v>270.93297304035787</c:v>
                      </c:pt>
                      <c:pt idx="20">
                        <c:v>284.99997895217336</c:v>
                      </c:pt>
                      <c:pt idx="21">
                        <c:v>299.06698486398886</c:v>
                      </c:pt>
                      <c:pt idx="22">
                        <c:v>313.13399077580436</c:v>
                      </c:pt>
                      <c:pt idx="23">
                        <c:v>327.20099668761986</c:v>
                      </c:pt>
                      <c:pt idx="24">
                        <c:v>341.26800259943536</c:v>
                      </c:pt>
                      <c:pt idx="25">
                        <c:v>355.33500851125086</c:v>
                      </c:pt>
                      <c:pt idx="26">
                        <c:v>369.40201442306636</c:v>
                      </c:pt>
                      <c:pt idx="27">
                        <c:v>383.46902033488186</c:v>
                      </c:pt>
                      <c:pt idx="28">
                        <c:v>397.53602624669736</c:v>
                      </c:pt>
                      <c:pt idx="29">
                        <c:v>411.60303215851286</c:v>
                      </c:pt>
                      <c:pt idx="30">
                        <c:v>425.67003807032836</c:v>
                      </c:pt>
                      <c:pt idx="31">
                        <c:v>439.73704398214386</c:v>
                      </c:pt>
                      <c:pt idx="32">
                        <c:v>453.80404989395936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8B1A-4427-8CBD-03CD931E8BD0}"/>
                  </c:ext>
                </c:extLst>
              </c15:ser>
            </c15:filteredScatterSeries>
            <c15:filteredScatte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GasesSummary!$BC$62</c15:sqref>
                        </c15:formulaRef>
                      </c:ext>
                    </c:extLst>
                    <c:strCache>
                      <c:ptCount val="1"/>
                      <c:pt idx="0">
                        <c:v>GWP100 E69%-A19%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GasesSummary!$BC$63:$BC$95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126.00901550628086</c:v>
                      </c:pt>
                      <c:pt idx="4">
                        <c:v>187.70561241569649</c:v>
                      </c:pt>
                      <c:pt idx="5">
                        <c:v>246.13616318135226</c:v>
                      </c:pt>
                      <c:pt idx="6">
                        <c:v>300.80396412635179</c:v>
                      </c:pt>
                      <c:pt idx="7">
                        <c:v>351.91409995791838</c:v>
                      </c:pt>
                      <c:pt idx="8">
                        <c:v>399.2642105668163</c:v>
                      </c:pt>
                      <c:pt idx="9">
                        <c:v>443.07639067514998</c:v>
                      </c:pt>
                      <c:pt idx="10">
                        <c:v>483.27863541844647</c:v>
                      </c:pt>
                      <c:pt idx="11">
                        <c:v>519.90986882304492</c:v>
                      </c:pt>
                      <c:pt idx="12">
                        <c:v>553.06015176583128</c:v>
                      </c:pt>
                      <c:pt idx="13">
                        <c:v>585.25627085706901</c:v>
                      </c:pt>
                      <c:pt idx="14">
                        <c:v>616.49822609675823</c:v>
                      </c:pt>
                      <c:pt idx="15">
                        <c:v>646.78601748489893</c:v>
                      </c:pt>
                      <c:pt idx="16">
                        <c:v>676.11964502149112</c:v>
                      </c:pt>
                      <c:pt idx="17">
                        <c:v>704.4991087065348</c:v>
                      </c:pt>
                      <c:pt idx="18">
                        <c:v>731.92440854002984</c:v>
                      </c:pt>
                      <c:pt idx="19">
                        <c:v>758.39554452197638</c:v>
                      </c:pt>
                      <c:pt idx="20">
                        <c:v>783.91251665237439</c:v>
                      </c:pt>
                      <c:pt idx="21">
                        <c:v>808.47532493122389</c:v>
                      </c:pt>
                      <c:pt idx="22">
                        <c:v>832.08396935852477</c:v>
                      </c:pt>
                      <c:pt idx="23">
                        <c:v>854.73844993427713</c:v>
                      </c:pt>
                      <c:pt idx="24">
                        <c:v>876.43876665848097</c:v>
                      </c:pt>
                      <c:pt idx="25">
                        <c:v>897.1849195311363</c:v>
                      </c:pt>
                      <c:pt idx="26">
                        <c:v>916.976908552243</c:v>
                      </c:pt>
                      <c:pt idx="27">
                        <c:v>935.81473372180119</c:v>
                      </c:pt>
                      <c:pt idx="28">
                        <c:v>953.69839503981086</c:v>
                      </c:pt>
                      <c:pt idx="29">
                        <c:v>970.62789250627202</c:v>
                      </c:pt>
                      <c:pt idx="30">
                        <c:v>986.60322612118466</c:v>
                      </c:pt>
                      <c:pt idx="31">
                        <c:v>1001.6243958845487</c:v>
                      </c:pt>
                      <c:pt idx="32">
                        <c:v>1015.6914017963642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8B1A-4427-8CBD-03CD931E8BD0}"/>
                  </c:ext>
                </c:extLst>
              </c15:ser>
            </c15:filteredScatterSeries>
            <c15:filteredScatte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GasesSummary!$BD$63:$BD$95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8B1A-4427-8CBD-03CD931E8BD0}"/>
                  </c:ext>
                </c:extLst>
              </c15:ser>
            </c15:filteredScatterSeries>
            <c15:filteredScatterSeries>
              <c15:ser>
                <c:idx val="47"/>
                <c:order val="4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GasesSummary!$BE$63:$BE$95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8B1A-4427-8CBD-03CD931E8BD0}"/>
                  </c:ext>
                </c:extLst>
              </c15:ser>
            </c15:filteredScatterSeries>
            <c15:filteredScatterSeries>
              <c15:ser>
                <c:idx val="48"/>
                <c:order val="4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GasesSummary!$BF$62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GasesSummary!$BF$63:$BF$95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-0.27134049207705008</c:v>
                      </c:pt>
                      <c:pt idx="14">
                        <c:v>-0.81402147623115018</c:v>
                      </c:pt>
                      <c:pt idx="15">
                        <c:v>-1.6280429524623004</c:v>
                      </c:pt>
                      <c:pt idx="16">
                        <c:v>-2.7134049207705004</c:v>
                      </c:pt>
                      <c:pt idx="17">
                        <c:v>-4.0701073811557507</c:v>
                      </c:pt>
                      <c:pt idx="18">
                        <c:v>-5.6981503336180515</c:v>
                      </c:pt>
                      <c:pt idx="19">
                        <c:v>-7.5975337781574019</c:v>
                      </c:pt>
                      <c:pt idx="20">
                        <c:v>-9.768257714773803</c:v>
                      </c:pt>
                      <c:pt idx="21">
                        <c:v>-12.210322143467254</c:v>
                      </c:pt>
                      <c:pt idx="22">
                        <c:v>-14.923727064237754</c:v>
                      </c:pt>
                      <c:pt idx="23">
                        <c:v>-17.908472477085304</c:v>
                      </c:pt>
                      <c:pt idx="24">
                        <c:v>-21.164558382009904</c:v>
                      </c:pt>
                      <c:pt idx="25">
                        <c:v>-24.691984779011555</c:v>
                      </c:pt>
                      <c:pt idx="26">
                        <c:v>-28.490751668090258</c:v>
                      </c:pt>
                      <c:pt idx="27">
                        <c:v>-32.560859049246012</c:v>
                      </c:pt>
                      <c:pt idx="28">
                        <c:v>-36.902306922478814</c:v>
                      </c:pt>
                      <c:pt idx="29">
                        <c:v>-41.515095287788668</c:v>
                      </c:pt>
                      <c:pt idx="30">
                        <c:v>-46.399224145175566</c:v>
                      </c:pt>
                      <c:pt idx="31">
                        <c:v>-51.554693494639515</c:v>
                      </c:pt>
                      <c:pt idx="32">
                        <c:v>-56.981503336180516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8B1A-4427-8CBD-03CD931E8BD0}"/>
                  </c:ext>
                </c:extLst>
              </c15:ser>
            </c15:filteredScatterSeries>
            <c15:filteredScatterSeries>
              <c15:ser>
                <c:idx val="49"/>
                <c:order val="4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GasesSummary!$BG$63:$BG$95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8B1A-4427-8CBD-03CD931E8BD0}"/>
                  </c:ext>
                </c:extLst>
              </c15:ser>
            </c15:filteredScatterSeries>
            <c15:filteredScatterSeries>
              <c15:ser>
                <c:idx val="50"/>
                <c:order val="5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GasesSummary!$BH$62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GasesSummary!$BH$63:$BH$95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B1A-4427-8CBD-03CD931E8BD0}"/>
                  </c:ext>
                </c:extLst>
              </c15:ser>
            </c15:filteredScatterSeries>
            <c15:filteredScatterSeries>
              <c15:ser>
                <c:idx val="51"/>
                <c:order val="5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GasesSummary!$BI$63:$BI$95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8B1A-4427-8CBD-03CD931E8BD0}"/>
                  </c:ext>
                </c:extLst>
              </c15:ser>
            </c15:filteredScatterSeries>
            <c15:filteredScatterSeries>
              <c15:ser>
                <c:idx val="52"/>
                <c:order val="5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GasesSummary!$BJ$63:$BJ$95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8B1A-4427-8CBD-03CD931E8BD0}"/>
                  </c:ext>
                </c:extLst>
              </c15:ser>
            </c15:filteredScatterSeries>
            <c15:filteredScatterSeries>
              <c15:ser>
                <c:idx val="53"/>
                <c:order val="5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GasesSummary!$BK$63:$BK$95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8B1A-4427-8CBD-03CD931E8BD0}"/>
                  </c:ext>
                </c:extLst>
              </c15:ser>
            </c15:filteredScatterSeries>
            <c15:filteredScatterSeries>
              <c15:ser>
                <c:idx val="55"/>
                <c:order val="5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GasesSummary!$BM$63:$BM$95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8B1A-4427-8CBD-03CD931E8BD0}"/>
                  </c:ext>
                </c:extLst>
              </c15:ser>
            </c15:filteredScatterSeries>
            <c15:filteredScatterSeries>
              <c15:ser>
                <c:idx val="56"/>
                <c:order val="5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GasesSummary!$BN$63:$BN$95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8B1A-4427-8CBD-03CD931E8BD0}"/>
                  </c:ext>
                </c:extLst>
              </c15:ser>
            </c15:filteredScatterSeries>
            <c15:filteredScatterSeries>
              <c15:ser>
                <c:idx val="57"/>
                <c:order val="5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GasesSummary!$BO$63:$BO$95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8B1A-4427-8CBD-03CD931E8BD0}"/>
                  </c:ext>
                </c:extLst>
              </c15:ser>
            </c15:filteredScatterSeries>
            <c15:filteredScatterSeries>
              <c15:ser>
                <c:idx val="58"/>
                <c:order val="5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GasesSummary!$BP$62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GasesSummary!$BP$63:$BP$95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A-8B1A-4427-8CBD-03CD931E8BD0}"/>
                  </c:ext>
                </c:extLst>
              </c15:ser>
            </c15:filteredScatterSeries>
          </c:ext>
        </c:extLst>
      </c:scatterChart>
      <c:valAx>
        <c:axId val="63912022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26784"/>
        <c:crosses val="autoZero"/>
        <c:crossBetween val="midCat"/>
      </c:valAx>
      <c:valAx>
        <c:axId val="6391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2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Carbon Dioxide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'Scenario 61-33%'!$C$7</c:f>
              <c:strCache>
                <c:ptCount val="1"/>
                <c:pt idx="0">
                  <c:v>CO2 (incl F-gases)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1538CD2-04A7-4341-8353-AC8332283DC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F82-46E1-900C-46344F45FD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82-46E1-900C-46344F45FD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82-46E1-900C-46344F45FD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82-46E1-900C-46344F45FD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82-46E1-900C-46344F45FD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82-46E1-900C-46344F45FD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82-46E1-900C-46344F45FD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82-46E1-900C-46344F45FD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82-46E1-900C-46344F45FD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82-46E1-900C-46344F45FD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82-46E1-900C-46344F45FD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82-46E1-900C-46344F45FD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C27B9B0-EE12-4F57-8DC7-052206A15F5A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F82-46E1-900C-46344F45FD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9D07736-6A46-49AA-A969-FB3C9E686A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F82-46E1-900C-46344F45FD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9F10326-53B2-44DA-8A6A-734C26ECAC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F82-46E1-900C-46344F45FD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5E03E5A-0EBC-4EAF-8F58-DBD4C10D79B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F82-46E1-900C-46344F45FD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8BDDF7F-E66F-40E4-8422-C58B37811D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F82-46E1-900C-46344F45FD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9B44E10-33CA-42F2-9067-134D2A761B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F82-46E1-900C-46344F45FD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53301D4-75FC-431D-B38B-95C3F0EBC7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F82-46E1-900C-46344F45FD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A96CA4F-E6FD-4CC6-BFD8-13194BAD0B1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F82-46E1-900C-46344F45FD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9C0B828-0964-48E1-9852-51AF20C3D7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F82-46E1-900C-46344F45FD3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4CA7CF9-0732-4C3D-A974-DA9922C9EA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F82-46E1-900C-46344F45FD3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3AB269B-120A-4500-B849-9FAECE8EB3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F82-46E1-900C-46344F45FD3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6ADE642-BF3B-46EA-9E01-4A92C88CC0B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F82-46E1-900C-46344F45FD3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6D4AE19-97D3-4DB1-A993-5B4C48FEBD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F82-46E1-900C-46344F45FD3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F7BAE1D-D2E1-44D1-A814-6F5702FB09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F82-46E1-900C-46344F45FD3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C76CEDE-59A1-456B-BAEA-E20CCDF4C4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F82-46E1-900C-46344F45FD3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282ED5F-B3C6-4A2A-82B6-8F300E564C7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F82-46E1-900C-46344F45FD3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4DB979D-C8C3-44A7-B226-546608EDFD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F82-46E1-900C-46344F45FD34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BFB683A-518C-4360-AE1B-30325FD7D9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F82-46E1-900C-46344F45FD34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4D7B6C8-76A0-4483-B06C-896BA6F4EF6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F82-46E1-900C-46344F45FD34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6DBE9FB-3B15-4619-A8C3-FEF86F8BEE6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F82-46E1-900C-46344F45FD34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4DBC827-72E5-45E7-9BE2-A44FC80262D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F82-46E1-900C-46344F45FD34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B698117-7A83-4F48-BC25-A46480E35B8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F82-46E1-900C-46344F45FD34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3D68637-3B87-42A5-ADDD-6375081FDE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F82-46E1-900C-46344F45FD34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79560E69-8277-47C6-A20B-3AEF7D21E1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F82-46E1-900C-46344F45FD34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7F90F7EE-9271-4F81-854F-ED0E1A98E4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F82-46E1-900C-46344F45FD34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6212ED2-8689-4708-9D38-B96B1FF135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F82-46E1-900C-46344F45FD34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4B800C7-A70B-4F2C-A1F4-F408D85A57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F82-46E1-900C-46344F45FD34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10180926-1496-4884-B01B-4F18CB8E4A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F82-46E1-900C-46344F45FD34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D8E4C80A-137C-4DBE-86A5-BCE396D544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F82-46E1-900C-46344F45FD34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CE7B612-AE02-4AD2-B398-58227352F36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F82-46E1-900C-46344F45FD34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ACBB06E3-C9DF-4B2E-9844-B8F2A15EDD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F82-46E1-900C-46344F45FD34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E62FA14-40C7-443C-B2BD-544EEED0D0B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F82-46E1-900C-46344F45FD34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657F0005-4131-4339-9CCA-982B008506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F82-46E1-900C-46344F45FD34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2D965265-260A-467E-BE80-1E07A5E335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F82-46E1-900C-46344F45FD34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1D658EF-E3F3-4889-A672-6056C7674D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F82-46E1-900C-46344F45FD34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EED4CD5C-FAC7-4DFA-8EFF-04B268FF73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F82-46E1-900C-46344F45FD34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D8E6280C-D2E1-4BBD-9ED0-3948403CB7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F82-46E1-900C-46344F45FD34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650F196E-7BF0-4971-992A-D076EADF26B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F82-46E1-900C-46344F45FD34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B5A087C8-73F2-4C6C-B7EF-8CA45DBD09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F82-46E1-900C-46344F45FD34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5656175D-EAD5-4AD9-A44F-9B7A3054A9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F82-46E1-900C-46344F45FD34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27547CE-841F-4742-8824-5FEFC25EA85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F82-46E1-900C-46344F45FD34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852D8B22-4380-4626-968E-39C2BDA566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F82-46E1-900C-46344F45FD34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044DB20E-157C-4CE9-B6D3-BD3ACEDA5A6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F82-46E1-900C-46344F45FD34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0C540731-F918-4E17-BAAD-531037D486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F82-46E1-900C-46344F45FD34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1A3C4CCB-0897-4BC6-8F04-968D6D4EE4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F82-46E1-900C-46344F45FD34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3B4F1DB-E8FD-4A68-8FCE-59210B6468B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F82-46E1-900C-46344F45FD34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27C0B9D-525E-4980-9EA4-2548C8574D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F82-46E1-900C-46344F45FD34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03F6AD9E-AF26-44EC-BCEB-3BA69AA5E5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6F82-46E1-900C-46344F45FD34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F27B088C-C488-46CB-B3A4-FF5A4F7EE8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F82-46E1-900C-46344F45FD34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AF7B2F8E-FDF2-49ED-BD4C-F6CCB31C455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6F82-46E1-900C-46344F45FD34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53520A07-D398-4E40-9E80-6D56A50D1A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F82-46E1-900C-46344F45FD34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E6F006FA-693D-4A84-BAC5-63297ED33D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6F82-46E1-900C-46344F45FD34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E3C4A8DA-1485-4876-B2E0-D2BB265222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F82-46E1-900C-46344F45FD34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47E6F609-7289-4A83-A647-790D3EBE5E3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6F82-46E1-900C-46344F45FD34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3DE5314-98D5-4B50-AB66-0ACDC67556D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6F82-46E1-900C-46344F45FD34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9BFE40D3-8116-46D0-B81A-4C8B9135DB9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6F82-46E1-900C-46344F45FD34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075F75A4-53E5-4EE8-A81D-C281B08175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6F82-46E1-900C-46344F45FD34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9A1E4657-9C04-4B2C-BD01-7FEFA292F0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6F82-46E1-900C-46344F45FD34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B9E40B56-607B-4CB6-BF8D-7C725A7CCF4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6F82-46E1-900C-46344F45FD34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1D736953-1B9A-4706-9B98-A889F554F22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6F82-46E1-900C-46344F45FD34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CB5244DC-9E4F-4C47-B258-DB88E8936F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6F82-46E1-900C-46344F45FD34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DB86311A-ABE7-4218-8200-13C6A43D67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6F82-46E1-900C-46344F45FD34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60DAB3AE-6C31-456E-B0C8-967172E5B3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6F82-46E1-900C-46344F45FD34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B000E3F8-4380-48DF-BEAB-309A1CCE2D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6F82-46E1-900C-46344F45FD34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675495D2-3A03-4AF3-BA0E-050BCF75B6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6F82-46E1-900C-46344F45FD34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B1A611E7-3B87-4B6C-8B5D-E275275296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6F82-46E1-900C-46344F45FD34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2F7DCAEC-934D-4B37-BCB0-DD14A82DED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6F82-46E1-900C-46344F45FD34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461F6EDD-AC8A-46C4-BC22-08C010DC11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6F82-46E1-900C-46344F45FD34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71D6431A-3A6B-4DC7-8719-8F666212D1E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6F82-46E1-900C-46344F45FD34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4D91763C-4FC8-40AC-914A-E32C128A6F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6F82-46E1-900C-46344F45FD34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B6278E69-D57F-426D-852E-14CBA4B091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6F82-46E1-900C-46344F45FD34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6F82-46E1-900C-46344F45FD34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6F82-46E1-900C-46344F45FD34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6F82-46E1-900C-46344F45FD34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6F82-46E1-900C-46344F45FD34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6F82-46E1-900C-46344F45FD34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6F82-46E1-900C-46344F45FD34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6F82-46E1-900C-46344F45FD34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6F82-46E1-900C-46344F45FD34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6F82-46E1-900C-46344F45FD34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6F82-46E1-900C-46344F45FD34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6F82-46E1-900C-46344F45FD34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6F82-46E1-900C-46344F45FD34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6F82-46E1-900C-46344F45FD34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6F82-46E1-900C-46344F45FD34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6F82-46E1-900C-46344F45FD34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6F82-46E1-900C-46344F45FD34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6F82-46E1-900C-46344F45FD34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6F82-46E1-900C-46344F45FD34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6F82-46E1-900C-46344F45FD34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6F82-46E1-900C-46344F45FD34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6F82-46E1-900C-46344F45FD34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6F82-46E1-900C-46344F45FD34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6F82-46E1-900C-46344F45FD34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6F82-46E1-900C-46344F45FD34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6F82-46E1-900C-46344F45FD34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6F82-46E1-900C-46344F45FD34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6F82-46E1-900C-46344F45FD34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6F82-46E1-900C-46344F45FD34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6F82-46E1-900C-46344F45FD34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6F82-46E1-900C-46344F45FD34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6F82-46E1-900C-46344F45FD34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6F82-46E1-900C-46344F45FD34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6F82-46E1-900C-46344F45FD34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6F82-46E1-900C-46344F45FD34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6F82-46E1-900C-46344F45FD34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6F82-46E1-900C-46344F45FD34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6F82-46E1-900C-46344F45FD34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6F82-46E1-900C-46344F45FD34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6F82-46E1-900C-46344F45FD34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6F82-46E1-900C-46344F45FD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'Scenario 61-33%'!$B$8:$B$130</c:f>
              <c:numCache>
                <c:formatCode>General</c:formatCode>
                <c:ptCount val="12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61-33%'!$C$8:$C$130</c:f>
              <c:numCache>
                <c:formatCode>0.0</c:formatCode>
                <c:ptCount val="12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 formatCode="0.00">
                  <c:v>42.847003375390081</c:v>
                </c:pt>
                <c:pt idx="42" formatCode="0.00">
                  <c:v>37.397075829274357</c:v>
                </c:pt>
                <c:pt idx="43" formatCode="0.00">
                  <c:v>39.439582806773323</c:v>
                </c:pt>
                <c:pt idx="44" formatCode="0.00">
                  <c:v>39.783620509637402</c:v>
                </c:pt>
                <c:pt idx="45" formatCode="0.00">
                  <c:v>40.4570240220391</c:v>
                </c:pt>
                <c:pt idx="46" formatCode="0.00">
                  <c:v>35.419580446465218</c:v>
                </c:pt>
                <c:pt idx="47" formatCode="0.00">
                  <c:v>31.759930339225079</c:v>
                </c:pt>
                <c:pt idx="48" formatCode="0.00">
                  <c:v>27.541093595451695</c:v>
                </c:pt>
                <c:pt idx="49" formatCode="0.00">
                  <c:v>24.690303631719004</c:v>
                </c:pt>
                <c:pt idx="50" formatCode="0.00">
                  <c:v>21.805614766046951</c:v>
                </c:pt>
                <c:pt idx="51" formatCode="0.00">
                  <c:v>19.369006426960006</c:v>
                </c:pt>
                <c:pt idx="52" formatCode="0.00">
                  <c:v>17.586324234694192</c:v>
                </c:pt>
                <c:pt idx="53">
                  <c:v>16.707008022959492</c:v>
                </c:pt>
                <c:pt idx="54">
                  <c:v>15.827691811224769</c:v>
                </c:pt>
                <c:pt idx="55">
                  <c:v>14.948375599490069</c:v>
                </c:pt>
                <c:pt idx="56">
                  <c:v>14.069059387755347</c:v>
                </c:pt>
                <c:pt idx="57">
                  <c:v>13.18974317602064</c:v>
                </c:pt>
                <c:pt idx="58">
                  <c:v>12.310426964285941</c:v>
                </c:pt>
                <c:pt idx="59">
                  <c:v>11.431110752551229</c:v>
                </c:pt>
                <c:pt idx="60">
                  <c:v>10.551794540816505</c:v>
                </c:pt>
                <c:pt idx="61">
                  <c:v>9.6724783290818124</c:v>
                </c:pt>
                <c:pt idx="62">
                  <c:v>8.7931621173470909</c:v>
                </c:pt>
                <c:pt idx="63">
                  <c:v>7.9138459056123791</c:v>
                </c:pt>
                <c:pt idx="64">
                  <c:v>7.0345296938776816</c:v>
                </c:pt>
                <c:pt idx="65">
                  <c:v>6.1552134821429654</c:v>
                </c:pt>
                <c:pt idx="66">
                  <c:v>5.275897270408251</c:v>
                </c:pt>
                <c:pt idx="67">
                  <c:v>4.3965810586735552</c:v>
                </c:pt>
                <c:pt idx="68">
                  <c:v>3.5172648469388332</c:v>
                </c:pt>
                <c:pt idx="69">
                  <c:v>2.6379486352041273</c:v>
                </c:pt>
                <c:pt idx="70">
                  <c:v>1.7586324234694144</c:v>
                </c:pt>
                <c:pt idx="71">
                  <c:v>0.87931621173470897</c:v>
                </c:pt>
                <c:pt idx="72">
                  <c:v>-1.2687585701894498E-14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61-33%'!$P$8:$P$130</c15:f>
                <c15:dlblRangeCache>
                  <c:ptCount val="123"/>
                  <c:pt idx="42">
                    <c:v>15%</c:v>
                  </c:pt>
                  <c:pt idx="47">
                    <c:v>28%</c:v>
                  </c:pt>
                  <c:pt idx="52">
                    <c:v>60%</c:v>
                  </c:pt>
                  <c:pt idx="62">
                    <c:v>80%</c:v>
                  </c:pt>
                  <c:pt idx="72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6F82-46E1-900C-46344F45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'Scenario 61-33%'!$D$7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61-33%'!$B$8:$B$130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61-33%'!$D$8:$D$130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0.58600902636719299</c:v>
                      </c:pt>
                      <c:pt idx="45">
                        <c:v>0.57099038243342937</c:v>
                      </c:pt>
                      <c:pt idx="46">
                        <c:v>0.54543863647206026</c:v>
                      </c:pt>
                      <c:pt idx="47">
                        <c:v>0.52423591840390538</c:v>
                      </c:pt>
                      <c:pt idx="48">
                        <c:v>0.49874195028860768</c:v>
                      </c:pt>
                      <c:pt idx="49">
                        <c:v>0.47795772457412411</c:v>
                      </c:pt>
                      <c:pt idx="50">
                        <c:v>0.45564656314473551</c:v>
                      </c:pt>
                      <c:pt idx="51">
                        <c:v>0.43416082492001606</c:v>
                      </c:pt>
                      <c:pt idx="52">
                        <c:v>0.41458491834958111</c:v>
                      </c:pt>
                      <c:pt idx="53">
                        <c:v>0.41458491834958111</c:v>
                      </c:pt>
                      <c:pt idx="54">
                        <c:v>0.41458491834958111</c:v>
                      </c:pt>
                      <c:pt idx="55">
                        <c:v>0.41458491834958111</c:v>
                      </c:pt>
                      <c:pt idx="56">
                        <c:v>0.41458491834958111</c:v>
                      </c:pt>
                      <c:pt idx="57">
                        <c:v>0.41458491834958111</c:v>
                      </c:pt>
                      <c:pt idx="58">
                        <c:v>0.41458491834958111</c:v>
                      </c:pt>
                      <c:pt idx="59">
                        <c:v>0.41458491834958111</c:v>
                      </c:pt>
                      <c:pt idx="60">
                        <c:v>0.41458491834958111</c:v>
                      </c:pt>
                      <c:pt idx="61">
                        <c:v>0.41458491834958111</c:v>
                      </c:pt>
                      <c:pt idx="62">
                        <c:v>0.41458491834958111</c:v>
                      </c:pt>
                      <c:pt idx="63">
                        <c:v>0.41458491834958111</c:v>
                      </c:pt>
                      <c:pt idx="64">
                        <c:v>0.41458491834958111</c:v>
                      </c:pt>
                      <c:pt idx="65">
                        <c:v>0.41458491834958111</c:v>
                      </c:pt>
                      <c:pt idx="66">
                        <c:v>0.41458491834958111</c:v>
                      </c:pt>
                      <c:pt idx="67">
                        <c:v>0.41458491834958111</c:v>
                      </c:pt>
                      <c:pt idx="68">
                        <c:v>0.41458491834958111</c:v>
                      </c:pt>
                      <c:pt idx="69">
                        <c:v>0.41458491834958111</c:v>
                      </c:pt>
                      <c:pt idx="70">
                        <c:v>0.41458491834958111</c:v>
                      </c:pt>
                      <c:pt idx="71">
                        <c:v>0.41458491834958111</c:v>
                      </c:pt>
                      <c:pt idx="72">
                        <c:v>0.41458491834958111</c:v>
                      </c:pt>
                      <c:pt idx="73">
                        <c:v>0.41458491834958111</c:v>
                      </c:pt>
                      <c:pt idx="74">
                        <c:v>0.41458491834958111</c:v>
                      </c:pt>
                      <c:pt idx="75">
                        <c:v>0.41458491834958111</c:v>
                      </c:pt>
                      <c:pt idx="76">
                        <c:v>0.41458491834958111</c:v>
                      </c:pt>
                      <c:pt idx="77">
                        <c:v>0.41458491834958111</c:v>
                      </c:pt>
                      <c:pt idx="78">
                        <c:v>0.41458491834958111</c:v>
                      </c:pt>
                      <c:pt idx="79">
                        <c:v>0.41458491834958111</c:v>
                      </c:pt>
                      <c:pt idx="80">
                        <c:v>0.41458491834958111</c:v>
                      </c:pt>
                      <c:pt idx="81">
                        <c:v>0.41458491834958111</c:v>
                      </c:pt>
                      <c:pt idx="82">
                        <c:v>0.41458491834958111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6F82-46E1-900C-46344F45FD3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61-33%'!$E$8:$E$130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2.3502124928149033E-2</c:v>
                      </c:pt>
                      <c:pt idx="45">
                        <c:v>2.3146300271837377E-2</c:v>
                      </c:pt>
                      <c:pt idx="46">
                        <c:v>2.2029053652795921E-2</c:v>
                      </c:pt>
                      <c:pt idx="47">
                        <c:v>2.1226191660974364E-2</c:v>
                      </c:pt>
                      <c:pt idx="48">
                        <c:v>2.0113121714753775E-2</c:v>
                      </c:pt>
                      <c:pt idx="49">
                        <c:v>1.9340511900162123E-2</c:v>
                      </c:pt>
                      <c:pt idx="50">
                        <c:v>1.8457522219700179E-2</c:v>
                      </c:pt>
                      <c:pt idx="51">
                        <c:v>1.763420113021312E-2</c:v>
                      </c:pt>
                      <c:pt idx="52">
                        <c:v>1.6948938873050819E-2</c:v>
                      </c:pt>
                      <c:pt idx="53" formatCode="0.0">
                        <c:v>1.6948938873050819E-2</c:v>
                      </c:pt>
                      <c:pt idx="54" formatCode="0.0">
                        <c:v>1.6948938873050819E-2</c:v>
                      </c:pt>
                      <c:pt idx="55" formatCode="0.0">
                        <c:v>1.6948938873050819E-2</c:v>
                      </c:pt>
                      <c:pt idx="56" formatCode="0.0">
                        <c:v>1.6948938873050819E-2</c:v>
                      </c:pt>
                      <c:pt idx="57" formatCode="0.0">
                        <c:v>1.6948938873050819E-2</c:v>
                      </c:pt>
                      <c:pt idx="58" formatCode="0.0">
                        <c:v>1.6948938873050819E-2</c:v>
                      </c:pt>
                      <c:pt idx="59" formatCode="0.0">
                        <c:v>1.6948938873050819E-2</c:v>
                      </c:pt>
                      <c:pt idx="60" formatCode="0.0">
                        <c:v>1.6948938873050819E-2</c:v>
                      </c:pt>
                      <c:pt idx="61" formatCode="0.0">
                        <c:v>1.6948938873050819E-2</c:v>
                      </c:pt>
                      <c:pt idx="62" formatCode="0.0">
                        <c:v>1.6948938873050819E-2</c:v>
                      </c:pt>
                      <c:pt idx="63" formatCode="0.0">
                        <c:v>1.6948938873050819E-2</c:v>
                      </c:pt>
                      <c:pt idx="64" formatCode="0.0">
                        <c:v>1.6948938873050819E-2</c:v>
                      </c:pt>
                      <c:pt idx="65" formatCode="0.0">
                        <c:v>1.6948938873050819E-2</c:v>
                      </c:pt>
                      <c:pt idx="66" formatCode="0.0">
                        <c:v>1.6948938873050819E-2</c:v>
                      </c:pt>
                      <c:pt idx="67" formatCode="0.0">
                        <c:v>1.6948938873050819E-2</c:v>
                      </c:pt>
                      <c:pt idx="68" formatCode="0.0">
                        <c:v>1.6948938873050819E-2</c:v>
                      </c:pt>
                      <c:pt idx="69" formatCode="0.0">
                        <c:v>1.6948938873050819E-2</c:v>
                      </c:pt>
                      <c:pt idx="70" formatCode="0.0">
                        <c:v>1.6948938873050819E-2</c:v>
                      </c:pt>
                      <c:pt idx="71" formatCode="0.0">
                        <c:v>1.6948938873050819E-2</c:v>
                      </c:pt>
                      <c:pt idx="72" formatCode="0.0">
                        <c:v>1.6948938873050819E-2</c:v>
                      </c:pt>
                      <c:pt idx="73" formatCode="0.0">
                        <c:v>1.6948938873050819E-2</c:v>
                      </c:pt>
                      <c:pt idx="74" formatCode="0.0">
                        <c:v>1.6948938873050819E-2</c:v>
                      </c:pt>
                      <c:pt idx="75" formatCode="0.0">
                        <c:v>1.6948938873050819E-2</c:v>
                      </c:pt>
                      <c:pt idx="76" formatCode="0.0">
                        <c:v>1.6948938873050819E-2</c:v>
                      </c:pt>
                      <c:pt idx="77" formatCode="0.0">
                        <c:v>1.6948938873050819E-2</c:v>
                      </c:pt>
                      <c:pt idx="78" formatCode="0.0">
                        <c:v>1.6948938873050819E-2</c:v>
                      </c:pt>
                      <c:pt idx="79" formatCode="0.0">
                        <c:v>1.6948938873050819E-2</c:v>
                      </c:pt>
                      <c:pt idx="80" formatCode="0.0">
                        <c:v>1.6948938873050819E-2</c:v>
                      </c:pt>
                      <c:pt idx="81" formatCode="0.0">
                        <c:v>1.6948938873050819E-2</c:v>
                      </c:pt>
                      <c:pt idx="82" formatCode="0.0">
                        <c:v>1.6948938873050819E-2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6F82-46E1-900C-46344F45FD34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Methane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'Scenario 61-33%'!$D$7</c:f>
              <c:strCache>
                <c:ptCount val="1"/>
                <c:pt idx="0">
                  <c:v>CH4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29E56AD-99A3-410C-BFAC-A22E2BAFAB5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297-4BAD-9B1C-6F108B97ACA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7-4BAD-9B1C-6F108B97ACA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7-4BAD-9B1C-6F108B97AC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7-4BAD-9B1C-6F108B97ACA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7-4BAD-9B1C-6F108B97ACA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7-4BAD-9B1C-6F108B97ACA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7-4BAD-9B1C-6F108B97ACA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7-4BAD-9B1C-6F108B97ACA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97-4BAD-9B1C-6F108B97ACA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7-4BAD-9B1C-6F108B97ACA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7-4BAD-9B1C-6F108B97ACA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7-4BAD-9B1C-6F108B97ACA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BB0122A-BB5F-44FB-9D25-68BE13A9738B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297-4BAD-9B1C-6F108B97ACA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4CA1F4-1692-4376-A04D-1F429CD4E13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297-4BAD-9B1C-6F108B97ACA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D10CBA2-00AA-47FB-AB1A-8902322E826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297-4BAD-9B1C-6F108B97ACA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57CE736-785C-46F2-81FE-00BEE60E849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297-4BAD-9B1C-6F108B97ACA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5CB7869-4962-4B53-8C35-1449397EE7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297-4BAD-9B1C-6F108B97ACA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F4F8324-1B0D-4D27-B94D-4BD31D881F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297-4BAD-9B1C-6F108B97ACA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F8A080D-77C3-4B05-91BD-3FED553AFB4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297-4BAD-9B1C-6F108B97ACA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A42A7D1-BEFE-426D-854D-7CCD79DA37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297-4BAD-9B1C-6F108B97ACA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9329CCA-D811-4EBA-8E09-AA5299D882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297-4BAD-9B1C-6F108B97ACA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5189E13-4193-43CA-BF8E-C8ED455C785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297-4BAD-9B1C-6F108B97ACA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0081163-C62D-4F26-999D-F67165E568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297-4BAD-9B1C-6F108B97ACA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A9B74ADE-0641-4A79-AEBA-EA933FAB15F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297-4BAD-9B1C-6F108B97ACA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EEA1BC3-EF17-44DC-9CF9-282E0BC1309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297-4BAD-9B1C-6F108B97ACA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129105B-8DBD-4F2B-A78E-96A602C1AE2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297-4BAD-9B1C-6F108B97ACA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DA15612-2F26-433C-9564-26AEEB979D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297-4BAD-9B1C-6F108B97ACA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85D825D1-81D1-4047-B2B5-87F1F1F9A79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297-4BAD-9B1C-6F108B97ACA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A32C0FD-FFD1-4D9F-B840-5977F73B75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297-4BAD-9B1C-6F108B97ACA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E73E2C8-BE23-4E5B-983D-58FDAA7F639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297-4BAD-9B1C-6F108B97ACA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B54941B-E86E-46BF-9176-DF6ACAC2397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297-4BAD-9B1C-6F108B97ACAA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512BDF0-3987-42CA-8309-D1ED85C4E5E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297-4BAD-9B1C-6F108B97ACA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DB4EBDB0-C08C-46A2-92E0-9FE7B1E2302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297-4BAD-9B1C-6F108B97ACA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D8479FCC-989D-41E8-A9AB-7672BD7D67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297-4BAD-9B1C-6F108B97ACA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92DD740-E327-450F-A059-1801A97E65C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297-4BAD-9B1C-6F108B97ACA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93ACC4F9-6A47-406E-BB5B-1BBE8CE3D4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297-4BAD-9B1C-6F108B97ACA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A7CE4FE-256D-434E-981E-44375CBC481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297-4BAD-9B1C-6F108B97ACA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F43245D8-70D0-4B87-B33B-62B22C7C51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297-4BAD-9B1C-6F108B97ACA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E3EF6CD6-E302-4F14-AD79-300FBF23963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297-4BAD-9B1C-6F108B97ACAA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C6126A1-D3E5-4641-828D-E3FDB6784E0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297-4BAD-9B1C-6F108B97ACAA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1D9AFED-2D65-4649-8D9C-6DEF997C5E0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297-4BAD-9B1C-6F108B97ACA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6CF7A21-4F9C-4C68-A66D-A9FDA18838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297-4BAD-9B1C-6F108B97ACA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77C19EB-70CF-4A74-AA76-C8CEB623BC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297-4BAD-9B1C-6F108B97ACA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90BDCC43-FEA3-42CD-A187-EB15881DC3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297-4BAD-9B1C-6F108B97ACA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BEC2FB9C-C28B-4996-8941-78D7960D2C7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297-4BAD-9B1C-6F108B97ACA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6F24A97C-5611-47FA-9ACA-66AE82D3F23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297-4BAD-9B1C-6F108B97ACA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60651F00-BA87-49BD-8684-90CAFCAE294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297-4BAD-9B1C-6F108B97ACA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46188F9C-EFF8-4D31-A9C3-1CD3A32114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297-4BAD-9B1C-6F108B97ACA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A17C657-ADB1-4D10-A97A-A495ABEEC1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297-4BAD-9B1C-6F108B97ACAA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21391BED-3543-4409-9337-406B218839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297-4BAD-9B1C-6F108B97ACAA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51C40E7-10F9-40F0-B5FC-FCD44CD9A69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297-4BAD-9B1C-6F108B97ACAA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96A2009-CF56-4304-835A-6ECA81B7FCE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297-4BAD-9B1C-6F108B97ACAA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8A202C89-7221-4BFA-A6C0-8CACDA1309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297-4BAD-9B1C-6F108B97ACAA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044F2914-0F93-47CD-981E-CC10481724C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297-4BAD-9B1C-6F108B97ACAA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1357716C-6748-4326-B4F1-174B7645AC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297-4BAD-9B1C-6F108B97ACA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9D3F8996-36A5-4E1C-AAC0-2A6A2D9822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0297-4BAD-9B1C-6F108B97ACAA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AF00FCDD-00C8-403C-8CD8-AAD3E25A4E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297-4BAD-9B1C-6F108B97ACAA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A5149F71-7C2C-4923-98FF-B9FF92031E6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297-4BAD-9B1C-6F108B97ACAA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CB735A9-F2B8-4F12-85EE-B4C67CB8068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297-4BAD-9B1C-6F108B97ACAA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C43FA415-A021-4E45-A74F-60D59C6364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297-4BAD-9B1C-6F108B97ACAA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6CC1E7A9-0CA7-409E-82D9-347FF58C95D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297-4BAD-9B1C-6F108B97ACAA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3480F29C-640C-4A1C-9866-D9299E4B0A8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297-4BAD-9B1C-6F108B97ACAA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84E3EF7-EF72-478C-89D5-AEC6E04E013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0297-4BAD-9B1C-6F108B97ACAA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AFDD5EFB-3675-4B8A-9645-61601096C26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297-4BAD-9B1C-6F108B97ACAA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BEE5D33-C413-48E7-A929-8A002C1DB9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0297-4BAD-9B1C-6F108B97ACAA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4833D783-1E13-4443-9E63-3F3A2F8186B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0297-4BAD-9B1C-6F108B97ACAA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3B5A2EFD-C8D5-4E5C-AD5E-52B6CEDAB2F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0297-4BAD-9B1C-6F108B97ACAA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CDE46E73-C309-4FA6-B093-9AEEAABA90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0297-4BAD-9B1C-6F108B97ACAA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A834E1F4-7F8E-4199-B2A8-DCB1466FCD4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0297-4BAD-9B1C-6F108B97ACAA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9678D79D-1A04-484D-ACB2-0C36AFE77BE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0297-4BAD-9B1C-6F108B97ACAA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861F6C3-6281-44A8-89BD-E82AC4766D0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0297-4BAD-9B1C-6F108B97ACAA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ECC28EB6-E47F-4B12-8F07-4979EBC10C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0297-4BAD-9B1C-6F108B97ACAA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C65864AF-1224-4468-B32B-EC6966D7C4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0297-4BAD-9B1C-6F108B97ACAA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B448583-7A41-435B-A340-3B98935663C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0297-4BAD-9B1C-6F108B97ACAA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EC49DF29-D29A-4E78-A13F-92CA3D1C8F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0297-4BAD-9B1C-6F108B97ACAA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4D2EB72E-7FC0-4B38-A1DA-7E1C8F5913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0297-4BAD-9B1C-6F108B97ACAA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4D8EA56E-38A2-4070-8E9B-9C0C0A96628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0297-4BAD-9B1C-6F108B97ACAA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60D291BC-6C83-41F7-B579-B6478F9136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0297-4BAD-9B1C-6F108B97ACAA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867E7F84-DA18-44D7-AD51-0ADF6A5122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0297-4BAD-9B1C-6F108B97ACAA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7744003A-9B22-43E9-AB43-1F2EC7667F8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0297-4BAD-9B1C-6F108B97ACAA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16DB0844-C4BC-4CBC-B04F-09E91E8839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0297-4BAD-9B1C-6F108B97ACAA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8BD1A0B1-726B-4D55-B7F0-D39CAAB189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0297-4BAD-9B1C-6F108B97ACAA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03388020-2D37-4993-9BC7-9A0CEC12887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0297-4BAD-9B1C-6F108B97ACAA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0297-4BAD-9B1C-6F108B97ACAA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0297-4BAD-9B1C-6F108B97ACAA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0297-4BAD-9B1C-6F108B97ACAA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0297-4BAD-9B1C-6F108B97ACAA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0297-4BAD-9B1C-6F108B97ACAA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0297-4BAD-9B1C-6F108B97ACAA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0297-4BAD-9B1C-6F108B97ACAA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0297-4BAD-9B1C-6F108B97ACAA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0297-4BAD-9B1C-6F108B97ACAA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0297-4BAD-9B1C-6F108B97ACAA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0297-4BAD-9B1C-6F108B97ACAA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0297-4BAD-9B1C-6F108B97ACAA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0297-4BAD-9B1C-6F108B97ACAA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0297-4BAD-9B1C-6F108B97ACAA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0297-4BAD-9B1C-6F108B97ACAA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0297-4BAD-9B1C-6F108B97ACAA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0297-4BAD-9B1C-6F108B97ACAA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0297-4BAD-9B1C-6F108B97ACAA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0297-4BAD-9B1C-6F108B97ACAA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0297-4BAD-9B1C-6F108B97ACAA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0297-4BAD-9B1C-6F108B97ACAA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0297-4BAD-9B1C-6F108B97ACAA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0297-4BAD-9B1C-6F108B97ACAA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0297-4BAD-9B1C-6F108B97ACAA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0297-4BAD-9B1C-6F108B97ACAA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0297-4BAD-9B1C-6F108B97ACAA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0297-4BAD-9B1C-6F108B97ACAA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0297-4BAD-9B1C-6F108B97ACAA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0297-4BAD-9B1C-6F108B97ACAA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0297-4BAD-9B1C-6F108B97ACAA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0297-4BAD-9B1C-6F108B97ACAA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0297-4BAD-9B1C-6F108B97ACAA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0297-4BAD-9B1C-6F108B97ACAA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0297-4BAD-9B1C-6F108B97ACAA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0297-4BAD-9B1C-6F108B97ACAA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0297-4BAD-9B1C-6F108B97ACAA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0297-4BAD-9B1C-6F108B97ACAA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0297-4BAD-9B1C-6F108B97ACAA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0297-4BAD-9B1C-6F108B97ACAA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0297-4BAD-9B1C-6F108B97A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61-33%'!$B$8:$B$130</c:f>
              <c:numCache>
                <c:formatCode>General</c:formatCode>
                <c:ptCount val="12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61-33%'!$D$8:$D$130</c:f>
              <c:numCache>
                <c:formatCode>0.00</c:formatCode>
                <c:ptCount val="123"/>
                <c:pt idx="12">
                  <c:v>0.56846617435307711</c:v>
                </c:pt>
                <c:pt idx="13">
                  <c:v>0.57899497527056076</c:v>
                </c:pt>
                <c:pt idx="14">
                  <c:v>0.58638316837148285</c:v>
                </c:pt>
                <c:pt idx="15">
                  <c:v>0.59483377727766906</c:v>
                </c:pt>
                <c:pt idx="16">
                  <c:v>0.59526602098909942</c:v>
                </c:pt>
                <c:pt idx="17">
                  <c:v>0.60059169683666336</c:v>
                </c:pt>
                <c:pt idx="18">
                  <c:v>0.61511089079967096</c:v>
                </c:pt>
                <c:pt idx="19">
                  <c:v>0.61488733682276098</c:v>
                </c:pt>
                <c:pt idx="20">
                  <c:v>0.62689098869315008</c:v>
                </c:pt>
                <c:pt idx="21">
                  <c:v>0.60985790475145341</c:v>
                </c:pt>
                <c:pt idx="22">
                  <c:v>0.59281659514673379</c:v>
                </c:pt>
                <c:pt idx="23">
                  <c:v>0.60653930034350212</c:v>
                </c:pt>
                <c:pt idx="24">
                  <c:v>0.59584131612224078</c:v>
                </c:pt>
                <c:pt idx="25">
                  <c:v>0.6315771849487738</c:v>
                </c:pt>
                <c:pt idx="26">
                  <c:v>0.58670195261344882</c:v>
                </c:pt>
                <c:pt idx="27">
                  <c:v>0.57896199008081672</c:v>
                </c:pt>
                <c:pt idx="28">
                  <c:v>0.58365900940295345</c:v>
                </c:pt>
                <c:pt idx="29">
                  <c:v>0.54949163157015002</c:v>
                </c:pt>
                <c:pt idx="30">
                  <c:v>0.54327868568762094</c:v>
                </c:pt>
                <c:pt idx="31">
                  <c:v>0.52849395261365861</c:v>
                </c:pt>
                <c:pt idx="32">
                  <c:v>0.53088913019285489</c:v>
                </c:pt>
                <c:pt idx="33">
                  <c:v>0.52067847685625956</c:v>
                </c:pt>
                <c:pt idx="34">
                  <c:v>0.54122860081163016</c:v>
                </c:pt>
                <c:pt idx="35">
                  <c:v>0.55563293823158555</c:v>
                </c:pt>
                <c:pt idx="36">
                  <c:v>0.56469371673730473</c:v>
                </c:pt>
                <c:pt idx="37">
                  <c:v>0.57912274054536717</c:v>
                </c:pt>
                <c:pt idx="38">
                  <c:v>0.59326897730059025</c:v>
                </c:pt>
                <c:pt idx="39">
                  <c:v>0.62003341514735055</c:v>
                </c:pt>
                <c:pt idx="40" formatCode="0.0">
                  <c:v>0.62362502085979499</c:v>
                </c:pt>
                <c:pt idx="41">
                  <c:v>0.60727248931136102</c:v>
                </c:pt>
                <c:pt idx="42">
                  <c:v>0.60563517202162709</c:v>
                </c:pt>
                <c:pt idx="43">
                  <c:v>0.60698426400733474</c:v>
                </c:pt>
                <c:pt idx="44">
                  <c:v>0.58600902636719299</c:v>
                </c:pt>
                <c:pt idx="45">
                  <c:v>0.57099038243342937</c:v>
                </c:pt>
                <c:pt idx="46">
                  <c:v>0.54543863647206026</c:v>
                </c:pt>
                <c:pt idx="47">
                  <c:v>0.52423591840390538</c:v>
                </c:pt>
                <c:pt idx="48">
                  <c:v>0.49874195028860768</c:v>
                </c:pt>
                <c:pt idx="49">
                  <c:v>0.47795772457412411</c:v>
                </c:pt>
                <c:pt idx="50">
                  <c:v>0.45564656314473551</c:v>
                </c:pt>
                <c:pt idx="51">
                  <c:v>0.43416082492001606</c:v>
                </c:pt>
                <c:pt idx="52">
                  <c:v>0.41458491834958111</c:v>
                </c:pt>
                <c:pt idx="53">
                  <c:v>0.41458491834958111</c:v>
                </c:pt>
                <c:pt idx="54">
                  <c:v>0.41458491834958111</c:v>
                </c:pt>
                <c:pt idx="55">
                  <c:v>0.41458491834958111</c:v>
                </c:pt>
                <c:pt idx="56">
                  <c:v>0.41458491834958111</c:v>
                </c:pt>
                <c:pt idx="57">
                  <c:v>0.41458491834958111</c:v>
                </c:pt>
                <c:pt idx="58">
                  <c:v>0.41458491834958111</c:v>
                </c:pt>
                <c:pt idx="59">
                  <c:v>0.41458491834958111</c:v>
                </c:pt>
                <c:pt idx="60">
                  <c:v>0.41458491834958111</c:v>
                </c:pt>
                <c:pt idx="61">
                  <c:v>0.41458491834958111</c:v>
                </c:pt>
                <c:pt idx="62">
                  <c:v>0.41458491834958111</c:v>
                </c:pt>
                <c:pt idx="63">
                  <c:v>0.41458491834958111</c:v>
                </c:pt>
                <c:pt idx="64">
                  <c:v>0.41458491834958111</c:v>
                </c:pt>
                <c:pt idx="65">
                  <c:v>0.41458491834958111</c:v>
                </c:pt>
                <c:pt idx="66">
                  <c:v>0.41458491834958111</c:v>
                </c:pt>
                <c:pt idx="67">
                  <c:v>0.41458491834958111</c:v>
                </c:pt>
                <c:pt idx="68">
                  <c:v>0.41458491834958111</c:v>
                </c:pt>
                <c:pt idx="69">
                  <c:v>0.41458491834958111</c:v>
                </c:pt>
                <c:pt idx="70">
                  <c:v>0.41458491834958111</c:v>
                </c:pt>
                <c:pt idx="71">
                  <c:v>0.41458491834958111</c:v>
                </c:pt>
                <c:pt idx="72">
                  <c:v>0.41458491834958111</c:v>
                </c:pt>
                <c:pt idx="73">
                  <c:v>0.41458491834958111</c:v>
                </c:pt>
                <c:pt idx="74">
                  <c:v>0.41458491834958111</c:v>
                </c:pt>
                <c:pt idx="75">
                  <c:v>0.41458491834958111</c:v>
                </c:pt>
                <c:pt idx="76">
                  <c:v>0.41458491834958111</c:v>
                </c:pt>
                <c:pt idx="77">
                  <c:v>0.41458491834958111</c:v>
                </c:pt>
                <c:pt idx="78">
                  <c:v>0.41458491834958111</c:v>
                </c:pt>
                <c:pt idx="79">
                  <c:v>0.41458491834958111</c:v>
                </c:pt>
                <c:pt idx="80">
                  <c:v>0.41458491834958111</c:v>
                </c:pt>
                <c:pt idx="81">
                  <c:v>0.41458491834958111</c:v>
                </c:pt>
                <c:pt idx="82">
                  <c:v>0.41458491834958111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61-33%'!$Q$8:$Q$130</c15:f>
                <c15:dlblRangeCache>
                  <c:ptCount val="123"/>
                  <c:pt idx="42">
                    <c:v>3%</c:v>
                  </c:pt>
                  <c:pt idx="47">
                    <c:v>16%</c:v>
                  </c:pt>
                  <c:pt idx="52">
                    <c:v>34%</c:v>
                  </c:pt>
                  <c:pt idx="62">
                    <c:v>34%</c:v>
                  </c:pt>
                  <c:pt idx="72">
                    <c:v>34%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0297-4BAD-9B1C-6F108B97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61-33%'!$C$7</c15:sqref>
                        </c15:formulaRef>
                      </c:ext>
                    </c:extLst>
                    <c:strCache>
                      <c:ptCount val="1"/>
                      <c:pt idx="0">
                        <c:v>CO2 (incl F-gases)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61-33%'!$B$8:$B$130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61-33%'!$C$8:$C$130</c15:sqref>
                        </c15:formulaRef>
                      </c:ext>
                    </c:extLst>
                    <c:numCache>
                      <c:formatCode>0.0</c:formatCode>
                      <c:ptCount val="12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39.439582806773323</c:v>
                      </c:pt>
                      <c:pt idx="44" formatCode="0.00">
                        <c:v>39.783620509637402</c:v>
                      </c:pt>
                      <c:pt idx="45" formatCode="0.00">
                        <c:v>40.4570240220391</c:v>
                      </c:pt>
                      <c:pt idx="46" formatCode="0.00">
                        <c:v>35.419580446465218</c:v>
                      </c:pt>
                      <c:pt idx="47" formatCode="0.00">
                        <c:v>31.759930339225079</c:v>
                      </c:pt>
                      <c:pt idx="48" formatCode="0.00">
                        <c:v>27.541093595451695</c:v>
                      </c:pt>
                      <c:pt idx="49" formatCode="0.00">
                        <c:v>24.690303631719004</c:v>
                      </c:pt>
                      <c:pt idx="50" formatCode="0.00">
                        <c:v>21.805614766046951</c:v>
                      </c:pt>
                      <c:pt idx="51" formatCode="0.00">
                        <c:v>19.369006426960006</c:v>
                      </c:pt>
                      <c:pt idx="52" formatCode="0.00">
                        <c:v>17.586324234694192</c:v>
                      </c:pt>
                      <c:pt idx="53">
                        <c:v>16.707008022959492</c:v>
                      </c:pt>
                      <c:pt idx="54">
                        <c:v>15.827691811224769</c:v>
                      </c:pt>
                      <c:pt idx="55">
                        <c:v>14.948375599490069</c:v>
                      </c:pt>
                      <c:pt idx="56">
                        <c:v>14.069059387755347</c:v>
                      </c:pt>
                      <c:pt idx="57">
                        <c:v>13.18974317602064</c:v>
                      </c:pt>
                      <c:pt idx="58">
                        <c:v>12.310426964285941</c:v>
                      </c:pt>
                      <c:pt idx="59">
                        <c:v>11.431110752551229</c:v>
                      </c:pt>
                      <c:pt idx="60">
                        <c:v>10.551794540816505</c:v>
                      </c:pt>
                      <c:pt idx="61">
                        <c:v>9.6724783290818124</c:v>
                      </c:pt>
                      <c:pt idx="62">
                        <c:v>8.7931621173470909</c:v>
                      </c:pt>
                      <c:pt idx="63">
                        <c:v>7.9138459056123791</c:v>
                      </c:pt>
                      <c:pt idx="64">
                        <c:v>7.0345296938776816</c:v>
                      </c:pt>
                      <c:pt idx="65">
                        <c:v>6.1552134821429654</c:v>
                      </c:pt>
                      <c:pt idx="66">
                        <c:v>5.275897270408251</c:v>
                      </c:pt>
                      <c:pt idx="67">
                        <c:v>4.3965810586735552</c:v>
                      </c:pt>
                      <c:pt idx="68">
                        <c:v>3.5172648469388332</c:v>
                      </c:pt>
                      <c:pt idx="69">
                        <c:v>2.6379486352041273</c:v>
                      </c:pt>
                      <c:pt idx="70">
                        <c:v>1.7586324234694144</c:v>
                      </c:pt>
                      <c:pt idx="71">
                        <c:v>0.87931621173470897</c:v>
                      </c:pt>
                      <c:pt idx="72">
                        <c:v>-1.2687585701894498E-14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0297-4BAD-9B1C-6F108B97ACA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61-33%'!$E$8:$E$130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2.3502124928149033E-2</c:v>
                      </c:pt>
                      <c:pt idx="45">
                        <c:v>2.3146300271837377E-2</c:v>
                      </c:pt>
                      <c:pt idx="46">
                        <c:v>2.2029053652795921E-2</c:v>
                      </c:pt>
                      <c:pt idx="47">
                        <c:v>2.1226191660974364E-2</c:v>
                      </c:pt>
                      <c:pt idx="48">
                        <c:v>2.0113121714753775E-2</c:v>
                      </c:pt>
                      <c:pt idx="49">
                        <c:v>1.9340511900162123E-2</c:v>
                      </c:pt>
                      <c:pt idx="50">
                        <c:v>1.8457522219700179E-2</c:v>
                      </c:pt>
                      <c:pt idx="51">
                        <c:v>1.763420113021312E-2</c:v>
                      </c:pt>
                      <c:pt idx="52">
                        <c:v>1.6948938873050819E-2</c:v>
                      </c:pt>
                      <c:pt idx="53" formatCode="0.0">
                        <c:v>1.6948938873050819E-2</c:v>
                      </c:pt>
                      <c:pt idx="54" formatCode="0.0">
                        <c:v>1.6948938873050819E-2</c:v>
                      </c:pt>
                      <c:pt idx="55" formatCode="0.0">
                        <c:v>1.6948938873050819E-2</c:v>
                      </c:pt>
                      <c:pt idx="56" formatCode="0.0">
                        <c:v>1.6948938873050819E-2</c:v>
                      </c:pt>
                      <c:pt idx="57" formatCode="0.0">
                        <c:v>1.6948938873050819E-2</c:v>
                      </c:pt>
                      <c:pt idx="58" formatCode="0.0">
                        <c:v>1.6948938873050819E-2</c:v>
                      </c:pt>
                      <c:pt idx="59" formatCode="0.0">
                        <c:v>1.6948938873050819E-2</c:v>
                      </c:pt>
                      <c:pt idx="60" formatCode="0.0">
                        <c:v>1.6948938873050819E-2</c:v>
                      </c:pt>
                      <c:pt idx="61" formatCode="0.0">
                        <c:v>1.6948938873050819E-2</c:v>
                      </c:pt>
                      <c:pt idx="62" formatCode="0.0">
                        <c:v>1.6948938873050819E-2</c:v>
                      </c:pt>
                      <c:pt idx="63" formatCode="0.0">
                        <c:v>1.6948938873050819E-2</c:v>
                      </c:pt>
                      <c:pt idx="64" formatCode="0.0">
                        <c:v>1.6948938873050819E-2</c:v>
                      </c:pt>
                      <c:pt idx="65" formatCode="0.0">
                        <c:v>1.6948938873050819E-2</c:v>
                      </c:pt>
                      <c:pt idx="66" formatCode="0.0">
                        <c:v>1.6948938873050819E-2</c:v>
                      </c:pt>
                      <c:pt idx="67" formatCode="0.0">
                        <c:v>1.6948938873050819E-2</c:v>
                      </c:pt>
                      <c:pt idx="68" formatCode="0.0">
                        <c:v>1.6948938873050819E-2</c:v>
                      </c:pt>
                      <c:pt idx="69" formatCode="0.0">
                        <c:v>1.6948938873050819E-2</c:v>
                      </c:pt>
                      <c:pt idx="70" formatCode="0.0">
                        <c:v>1.6948938873050819E-2</c:v>
                      </c:pt>
                      <c:pt idx="71" formatCode="0.0">
                        <c:v>1.6948938873050819E-2</c:v>
                      </c:pt>
                      <c:pt idx="72" formatCode="0.0">
                        <c:v>1.6948938873050819E-2</c:v>
                      </c:pt>
                      <c:pt idx="73" formatCode="0.0">
                        <c:v>1.6948938873050819E-2</c:v>
                      </c:pt>
                      <c:pt idx="74" formatCode="0.0">
                        <c:v>1.6948938873050819E-2</c:v>
                      </c:pt>
                      <c:pt idx="75" formatCode="0.0">
                        <c:v>1.6948938873050819E-2</c:v>
                      </c:pt>
                      <c:pt idx="76" formatCode="0.0">
                        <c:v>1.6948938873050819E-2</c:v>
                      </c:pt>
                      <c:pt idx="77" formatCode="0.0">
                        <c:v>1.6948938873050819E-2</c:v>
                      </c:pt>
                      <c:pt idx="78" formatCode="0.0">
                        <c:v>1.6948938873050819E-2</c:v>
                      </c:pt>
                      <c:pt idx="79" formatCode="0.0">
                        <c:v>1.6948938873050819E-2</c:v>
                      </c:pt>
                      <c:pt idx="80" formatCode="0.0">
                        <c:v>1.6948938873050819E-2</c:v>
                      </c:pt>
                      <c:pt idx="81" formatCode="0.0">
                        <c:v>1.6948938873050819E-2</c:v>
                      </c:pt>
                      <c:pt idx="82" formatCode="0.0">
                        <c:v>1.6948938873050819E-2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0297-4BAD-9B1C-6F108B97ACAA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Nitrous 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'Scenario 61-33%'!$E$7</c:f>
              <c:strCache>
                <c:ptCount val="1"/>
                <c:pt idx="0">
                  <c:v>N2O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B453E0C-26BF-45E9-9820-C8DD5E582C0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D82-4DC0-A600-B1D85135C8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DC0-A600-B1D85135C8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2-4DC0-A600-B1D85135C8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2-4DC0-A600-B1D85135C8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2-4DC0-A600-B1D85135C8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82-4DC0-A600-B1D85135C8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82-4DC0-A600-B1D85135C8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82-4DC0-A600-B1D85135C8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2-4DC0-A600-B1D85135C8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2-4DC0-A600-B1D85135C8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2-4DC0-A600-B1D85135C8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2-4DC0-A600-B1D85135C8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C2E077B-4799-40D6-85B4-4CA5B2501F7C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D82-4DC0-A600-B1D85135C8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22068AD-FC20-4D2F-9A70-97B57B892C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D82-4DC0-A600-B1D85135C8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A218B5F-F350-42BD-9113-7008C0548B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D82-4DC0-A600-B1D85135C8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56367C0-44E2-494A-A8D3-9EB9767F0C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D82-4DC0-A600-B1D85135C8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D6BEB48-7AA5-45F1-8799-EE474CC0DA4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D82-4DC0-A600-B1D85135C8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942688B-6D1C-4067-929E-4776B11E04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D82-4DC0-A600-B1D85135C8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F6312F2-18A8-47E8-B3CE-47EEE49870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D82-4DC0-A600-B1D85135C8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D59185C-A2FE-4EC2-A17B-AD58E56F6B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D82-4DC0-A600-B1D85135C8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D62F292-512E-42D5-BD46-8F32332BBC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D82-4DC0-A600-B1D85135C81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C0C8B90-6318-4D05-B598-DCC0E0D496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D82-4DC0-A600-B1D85135C81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032EFF3-6489-4AA3-8056-6F43732882B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D82-4DC0-A600-B1D85135C81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4F9856D-AEF9-4776-BAAA-6DE64D63C5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D82-4DC0-A600-B1D85135C81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B9729D7-0C0B-4D3F-B4F5-B703966A39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D82-4DC0-A600-B1D85135C81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183815F-106E-409B-89E1-2CAD7A29CD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D82-4DC0-A600-B1D85135C81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7439D68-D3B9-4D18-A6C9-54727E93E4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D82-4DC0-A600-B1D85135C81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B431AE1-5940-48B7-8FE6-EAA4D9F57FD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D82-4DC0-A600-B1D85135C81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A94C06F-96E0-4F5F-B61B-D3BB82471BE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D82-4DC0-A600-B1D85135C81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279D9B5-BCFD-49BB-8D6E-50E6A2C474A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D82-4DC0-A600-B1D85135C81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04C9061-E673-4591-9D49-18DF4A84D61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D82-4DC0-A600-B1D85135C81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EABC239-5E46-4E85-9D75-78A18C3AA2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D82-4DC0-A600-B1D85135C81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889086C-3A05-4F29-BE5B-59CDC76A462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D82-4DC0-A600-B1D85135C81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93E23A1-AB16-45AE-890B-5F32520F18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D82-4DC0-A600-B1D85135C81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E58E49F-3EBF-46A6-991B-585C8509FD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D82-4DC0-A600-B1D85135C81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4296070-686B-4657-8CBC-1EACA2BCD6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D82-4DC0-A600-B1D85135C81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759B607C-8216-4636-B1DC-815F2129661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D82-4DC0-A600-B1D85135C81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F03987D7-573F-4A40-8AC2-C4C16411A7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D82-4DC0-A600-B1D85135C81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14D29002-A7A7-4A13-99BE-92E021D5A1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D82-4DC0-A600-B1D85135C81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726C5A53-5231-40AB-8B4A-FDBD1DD5F2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D82-4DC0-A600-B1D85135C81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383DCFD-C976-401C-8EF6-47AE74918D2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D82-4DC0-A600-B1D85135C81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9C7BB44-E14B-41FE-A6A4-86EA542012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D82-4DC0-A600-B1D85135C81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A4AC623F-6E58-4BCE-A865-09259135F25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D82-4DC0-A600-B1D85135C81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FBEF27E-A72B-4684-9350-B370735415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D82-4DC0-A600-B1D85135C81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BBF5F9CC-E811-4325-A472-DDACF01C9B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D82-4DC0-A600-B1D85135C81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935E5155-BC3A-43A4-9257-4021641F20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D82-4DC0-A600-B1D85135C81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5A11B01-36BE-4D24-8809-3F981F12C4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D82-4DC0-A600-B1D85135C81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65572A1A-399C-47DF-9E38-2C75492A0BF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D82-4DC0-A600-B1D85135C81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70410F8-D381-4C16-AFA0-DD3F2804DE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D82-4DC0-A600-B1D85135C81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29C7AD2-FD9F-476F-86BB-2DE4D1E983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D82-4DC0-A600-B1D85135C81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FFE59632-9ADB-4C02-AC39-84E5F9AF73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D82-4DC0-A600-B1D85135C81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53F7DF5A-CA52-48BB-944C-76B6AEF9EDC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D82-4DC0-A600-B1D85135C81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C66BDC64-AB17-4D5F-8756-8614F2DE37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D82-4DC0-A600-B1D85135C81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64DD06F5-4509-4C27-BE9E-06C50F412A1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D82-4DC0-A600-B1D85135C81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4110B741-6CC7-4FEF-9F1D-DC9286BE25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D82-4DC0-A600-B1D85135C81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4692F165-E8C1-4524-A80F-15A2F80223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5D82-4DC0-A600-B1D85135C81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CB11F257-8071-440F-AD2B-31C098176C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5D82-4DC0-A600-B1D85135C81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B7CDD81D-56A2-4E0F-98C7-8973F379737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5D82-4DC0-A600-B1D85135C81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EFB64C90-54FA-4C77-8931-DBABD41AE80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5D82-4DC0-A600-B1D85135C81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788A7B6D-95D9-472E-85F3-D3E587E009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5D82-4DC0-A600-B1D85135C81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29722335-7006-472C-A80F-7CEB750B4B0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5D82-4DC0-A600-B1D85135C81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EB9BDB32-6ECB-4F11-A467-FAC0946E3C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5D82-4DC0-A600-B1D85135C81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68F50FF6-9438-4CE6-ACA3-BA9B838D33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5D82-4DC0-A600-B1D85135C81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21BA458A-26C0-4320-9DB0-623BF5C520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5D82-4DC0-A600-B1D85135C81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94768A11-632F-443E-B483-A44213CF5E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5D82-4DC0-A600-B1D85135C81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39285BB2-17E4-4B08-BBB7-AA998EF5580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5D82-4DC0-A600-B1D85135C81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C319002B-81E8-4A98-92D1-AF3755926E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5D82-4DC0-A600-B1D85135C81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56CD7D9F-698A-4728-AC25-D9978E60F2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5D82-4DC0-A600-B1D85135C81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DE58198E-72A4-4708-B24D-8D94E7BAF30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5D82-4DC0-A600-B1D85135C81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D965646E-8747-49BE-91D5-5DA4B21CC1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5D82-4DC0-A600-B1D85135C81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8F36F3C5-D631-47DF-8914-A5485B5982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5D82-4DC0-A600-B1D85135C81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A0D3768F-1D7F-4CF6-8985-A131126835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5D82-4DC0-A600-B1D85135C81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2A95F4DC-89FF-47F0-BF86-314600BDF8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5D82-4DC0-A600-B1D85135C81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20C79DFA-388E-4D31-AF52-5579EF09368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5D82-4DC0-A600-B1D85135C81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B085084E-E68F-4DC7-AFDB-E5B6A72071B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5D82-4DC0-A600-B1D85135C81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FDB93DFD-036E-47E9-8CCE-7593F77746F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5D82-4DC0-A600-B1D85135C81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AF8D4248-7DB3-4B27-A119-A53C17D4B0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5D82-4DC0-A600-B1D85135C81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4CAD729E-6B99-4DD6-B39C-2A6B6F873E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5D82-4DC0-A600-B1D85135C81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AD896554-B32E-4BBD-A1C2-A6E6CB22C9E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5D82-4DC0-A600-B1D85135C81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33CABEFE-E2DF-4E5C-9259-183F289317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5D82-4DC0-A600-B1D85135C81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1F4793E7-52E4-423C-B430-7452A7A695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5D82-4DC0-A600-B1D85135C81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50BFCC71-3EAD-4812-8696-17AD619281E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5D82-4DC0-A600-B1D85135C81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26F80D01-3ACA-470E-9C1D-A10694E989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5D82-4DC0-A600-B1D85135C81F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D82-4DC0-A600-B1D85135C81F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5D82-4DC0-A600-B1D85135C81F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D82-4DC0-A600-B1D85135C81F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5D82-4DC0-A600-B1D85135C81F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D82-4DC0-A600-B1D85135C81F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5D82-4DC0-A600-B1D85135C81F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D82-4DC0-A600-B1D85135C81F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5D82-4DC0-A600-B1D85135C81F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D82-4DC0-A600-B1D85135C81F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D82-4DC0-A600-B1D85135C81F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D82-4DC0-A600-B1D85135C81F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5D82-4DC0-A600-B1D85135C81F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D82-4DC0-A600-B1D85135C81F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5D82-4DC0-A600-B1D85135C81F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D82-4DC0-A600-B1D85135C81F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5D82-4DC0-A600-B1D85135C81F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D82-4DC0-A600-B1D85135C81F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5D82-4DC0-A600-B1D85135C81F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D82-4DC0-A600-B1D85135C81F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5D82-4DC0-A600-B1D85135C81F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D82-4DC0-A600-B1D85135C81F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5D82-4DC0-A600-B1D85135C81F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D82-4DC0-A600-B1D85135C81F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5D82-4DC0-A600-B1D85135C81F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D82-4DC0-A600-B1D85135C81F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5D82-4DC0-A600-B1D85135C81F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D82-4DC0-A600-B1D85135C81F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5D82-4DC0-A600-B1D85135C81F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D82-4DC0-A600-B1D85135C81F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5D82-4DC0-A600-B1D85135C81F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D82-4DC0-A600-B1D85135C81F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D82-4DC0-A600-B1D85135C81F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D82-4DC0-A600-B1D85135C81F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D82-4DC0-A600-B1D85135C81F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D82-4DC0-A600-B1D85135C81F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5D82-4DC0-A600-B1D85135C81F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5D82-4DC0-A600-B1D85135C81F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5D82-4DC0-A600-B1D85135C81F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D82-4DC0-A600-B1D85135C81F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D82-4DC0-A600-B1D85135C8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61-33%'!$B$8:$B$130</c:f>
              <c:numCache>
                <c:formatCode>General</c:formatCode>
                <c:ptCount val="12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61-33%'!$E$8:$E$130</c:f>
              <c:numCache>
                <c:formatCode>0.00</c:formatCode>
                <c:ptCount val="123"/>
                <c:pt idx="12">
                  <c:v>2.6227661646226468E-2</c:v>
                </c:pt>
                <c:pt idx="13">
                  <c:v>2.554114757699584E-2</c:v>
                </c:pt>
                <c:pt idx="14">
                  <c:v>2.5204417941327273E-2</c:v>
                </c:pt>
                <c:pt idx="15">
                  <c:v>2.5697521605793531E-2</c:v>
                </c:pt>
                <c:pt idx="16">
                  <c:v>2.6660195601452181E-2</c:v>
                </c:pt>
                <c:pt idx="17">
                  <c:v>2.7848538989904151E-2</c:v>
                </c:pt>
                <c:pt idx="18">
                  <c:v>2.8242940550096497E-2</c:v>
                </c:pt>
                <c:pt idx="19">
                  <c:v>2.7991006485181408E-2</c:v>
                </c:pt>
                <c:pt idx="20">
                  <c:v>2.9429943506676829E-2</c:v>
                </c:pt>
                <c:pt idx="21">
                  <c:v>2.8645206014373741E-2</c:v>
                </c:pt>
                <c:pt idx="22">
                  <c:v>2.7713149439546961E-2</c:v>
                </c:pt>
                <c:pt idx="23">
                  <c:v>2.6361520111669961E-2</c:v>
                </c:pt>
                <c:pt idx="24">
                  <c:v>2.5205268301960501E-2</c:v>
                </c:pt>
                <c:pt idx="25">
                  <c:v>2.5051707160096713E-2</c:v>
                </c:pt>
                <c:pt idx="26">
                  <c:v>2.4462801837163501E-2</c:v>
                </c:pt>
                <c:pt idx="27">
                  <c:v>2.4090144176706841E-2</c:v>
                </c:pt>
                <c:pt idx="28">
                  <c:v>2.3416369558615369E-2</c:v>
                </c:pt>
                <c:pt idx="29">
                  <c:v>2.2587866931128592E-2</c:v>
                </c:pt>
                <c:pt idx="30">
                  <c:v>2.252824456889773E-2</c:v>
                </c:pt>
                <c:pt idx="31">
                  <c:v>2.1984221435495593E-2</c:v>
                </c:pt>
                <c:pt idx="32">
                  <c:v>2.3205006831574712E-2</c:v>
                </c:pt>
                <c:pt idx="33">
                  <c:v>2.1596923732384501E-2</c:v>
                </c:pt>
                <c:pt idx="34">
                  <c:v>2.2350835962576289E-2</c:v>
                </c:pt>
                <c:pt idx="35">
                  <c:v>2.3861676615019551E-2</c:v>
                </c:pt>
                <c:pt idx="36">
                  <c:v>2.3087068532383508E-2</c:v>
                </c:pt>
                <c:pt idx="37">
                  <c:v>2.3139800195035771E-2</c:v>
                </c:pt>
                <c:pt idx="38">
                  <c:v>2.3402918953505311E-2</c:v>
                </c:pt>
                <c:pt idx="39">
                  <c:v>2.4736923302581051E-2</c:v>
                </c:pt>
                <c:pt idx="40">
                  <c:v>2.5646912762990196E-2</c:v>
                </c:pt>
                <c:pt idx="41">
                  <c:v>2.4309378074883786E-2</c:v>
                </c:pt>
                <c:pt idx="42">
                  <c:v>2.4191018892461238E-2</c:v>
                </c:pt>
                <c:pt idx="43">
                  <c:v>2.4288542705006529E-2</c:v>
                </c:pt>
                <c:pt idx="44">
                  <c:v>2.3502124928149033E-2</c:v>
                </c:pt>
                <c:pt idx="45">
                  <c:v>2.3146300271837377E-2</c:v>
                </c:pt>
                <c:pt idx="46">
                  <c:v>2.2029053652795921E-2</c:v>
                </c:pt>
                <c:pt idx="47">
                  <c:v>2.1226191660974364E-2</c:v>
                </c:pt>
                <c:pt idx="48">
                  <c:v>2.0113121714753775E-2</c:v>
                </c:pt>
                <c:pt idx="49">
                  <c:v>1.9340511900162123E-2</c:v>
                </c:pt>
                <c:pt idx="50">
                  <c:v>1.8457522219700179E-2</c:v>
                </c:pt>
                <c:pt idx="51">
                  <c:v>1.763420113021312E-2</c:v>
                </c:pt>
                <c:pt idx="52">
                  <c:v>1.6948938873050819E-2</c:v>
                </c:pt>
                <c:pt idx="53" formatCode="0.0">
                  <c:v>1.6948938873050819E-2</c:v>
                </c:pt>
                <c:pt idx="54" formatCode="0.0">
                  <c:v>1.6948938873050819E-2</c:v>
                </c:pt>
                <c:pt idx="55" formatCode="0.0">
                  <c:v>1.6948938873050819E-2</c:v>
                </c:pt>
                <c:pt idx="56" formatCode="0.0">
                  <c:v>1.6948938873050819E-2</c:v>
                </c:pt>
                <c:pt idx="57" formatCode="0.0">
                  <c:v>1.6948938873050819E-2</c:v>
                </c:pt>
                <c:pt idx="58" formatCode="0.0">
                  <c:v>1.6948938873050819E-2</c:v>
                </c:pt>
                <c:pt idx="59" formatCode="0.0">
                  <c:v>1.6948938873050819E-2</c:v>
                </c:pt>
                <c:pt idx="60" formatCode="0.0">
                  <c:v>1.6948938873050819E-2</c:v>
                </c:pt>
                <c:pt idx="61" formatCode="0.0">
                  <c:v>1.6948938873050819E-2</c:v>
                </c:pt>
                <c:pt idx="62" formatCode="0.0">
                  <c:v>1.6948938873050819E-2</c:v>
                </c:pt>
                <c:pt idx="63" formatCode="0.0">
                  <c:v>1.6948938873050819E-2</c:v>
                </c:pt>
                <c:pt idx="64" formatCode="0.0">
                  <c:v>1.6948938873050819E-2</c:v>
                </c:pt>
                <c:pt idx="65" formatCode="0.0">
                  <c:v>1.6948938873050819E-2</c:v>
                </c:pt>
                <c:pt idx="66" formatCode="0.0">
                  <c:v>1.6948938873050819E-2</c:v>
                </c:pt>
                <c:pt idx="67" formatCode="0.0">
                  <c:v>1.6948938873050819E-2</c:v>
                </c:pt>
                <c:pt idx="68" formatCode="0.0">
                  <c:v>1.6948938873050819E-2</c:v>
                </c:pt>
                <c:pt idx="69" formatCode="0.0">
                  <c:v>1.6948938873050819E-2</c:v>
                </c:pt>
                <c:pt idx="70" formatCode="0.0">
                  <c:v>1.6948938873050819E-2</c:v>
                </c:pt>
                <c:pt idx="71" formatCode="0.0">
                  <c:v>1.6948938873050819E-2</c:v>
                </c:pt>
                <c:pt idx="72" formatCode="0.0">
                  <c:v>1.6948938873050819E-2</c:v>
                </c:pt>
                <c:pt idx="73" formatCode="0.0">
                  <c:v>1.6948938873050819E-2</c:v>
                </c:pt>
                <c:pt idx="74" formatCode="0.0">
                  <c:v>1.6948938873050819E-2</c:v>
                </c:pt>
                <c:pt idx="75" formatCode="0.0">
                  <c:v>1.6948938873050819E-2</c:v>
                </c:pt>
                <c:pt idx="76" formatCode="0.0">
                  <c:v>1.6948938873050819E-2</c:v>
                </c:pt>
                <c:pt idx="77" formatCode="0.0">
                  <c:v>1.6948938873050819E-2</c:v>
                </c:pt>
                <c:pt idx="78" formatCode="0.0">
                  <c:v>1.6948938873050819E-2</c:v>
                </c:pt>
                <c:pt idx="79" formatCode="0.0">
                  <c:v>1.6948938873050819E-2</c:v>
                </c:pt>
                <c:pt idx="80" formatCode="0.0">
                  <c:v>1.6948938873050819E-2</c:v>
                </c:pt>
                <c:pt idx="81" formatCode="0.0">
                  <c:v>1.6948938873050819E-2</c:v>
                </c:pt>
                <c:pt idx="82" formatCode="0.0">
                  <c:v>1.6948938873050819E-2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61-33%'!$R$8:$R$130</c15:f>
                <c15:dlblRangeCache>
                  <c:ptCount val="123"/>
                  <c:pt idx="42">
                    <c:v>6%</c:v>
                  </c:pt>
                  <c:pt idx="47">
                    <c:v>17%</c:v>
                  </c:pt>
                  <c:pt idx="52">
                    <c:v>34%</c:v>
                  </c:pt>
                  <c:pt idx="62">
                    <c:v>34%</c:v>
                  </c:pt>
                  <c:pt idx="72">
                    <c:v>34%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5D82-4DC0-A600-B1D85135C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61-33%'!$C$7</c15:sqref>
                        </c15:formulaRef>
                      </c:ext>
                    </c:extLst>
                    <c:strCache>
                      <c:ptCount val="1"/>
                      <c:pt idx="0">
                        <c:v>CO2 (incl F-gases)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61-33%'!$B$8:$B$130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61-33%'!$C$8:$C$130</c15:sqref>
                        </c15:formulaRef>
                      </c:ext>
                    </c:extLst>
                    <c:numCache>
                      <c:formatCode>0.0</c:formatCode>
                      <c:ptCount val="12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39.439582806773323</c:v>
                      </c:pt>
                      <c:pt idx="44" formatCode="0.00">
                        <c:v>39.783620509637402</c:v>
                      </c:pt>
                      <c:pt idx="45" formatCode="0.00">
                        <c:v>40.4570240220391</c:v>
                      </c:pt>
                      <c:pt idx="46" formatCode="0.00">
                        <c:v>35.419580446465218</c:v>
                      </c:pt>
                      <c:pt idx="47" formatCode="0.00">
                        <c:v>31.759930339225079</c:v>
                      </c:pt>
                      <c:pt idx="48" formatCode="0.00">
                        <c:v>27.541093595451695</c:v>
                      </c:pt>
                      <c:pt idx="49" formatCode="0.00">
                        <c:v>24.690303631719004</c:v>
                      </c:pt>
                      <c:pt idx="50" formatCode="0.00">
                        <c:v>21.805614766046951</c:v>
                      </c:pt>
                      <c:pt idx="51" formatCode="0.00">
                        <c:v>19.369006426960006</c:v>
                      </c:pt>
                      <c:pt idx="52" formatCode="0.00">
                        <c:v>17.586324234694192</c:v>
                      </c:pt>
                      <c:pt idx="53">
                        <c:v>16.707008022959492</c:v>
                      </c:pt>
                      <c:pt idx="54">
                        <c:v>15.827691811224769</c:v>
                      </c:pt>
                      <c:pt idx="55">
                        <c:v>14.948375599490069</c:v>
                      </c:pt>
                      <c:pt idx="56">
                        <c:v>14.069059387755347</c:v>
                      </c:pt>
                      <c:pt idx="57">
                        <c:v>13.18974317602064</c:v>
                      </c:pt>
                      <c:pt idx="58">
                        <c:v>12.310426964285941</c:v>
                      </c:pt>
                      <c:pt idx="59">
                        <c:v>11.431110752551229</c:v>
                      </c:pt>
                      <c:pt idx="60">
                        <c:v>10.551794540816505</c:v>
                      </c:pt>
                      <c:pt idx="61">
                        <c:v>9.6724783290818124</c:v>
                      </c:pt>
                      <c:pt idx="62">
                        <c:v>8.7931621173470909</c:v>
                      </c:pt>
                      <c:pt idx="63">
                        <c:v>7.9138459056123791</c:v>
                      </c:pt>
                      <c:pt idx="64">
                        <c:v>7.0345296938776816</c:v>
                      </c:pt>
                      <c:pt idx="65">
                        <c:v>6.1552134821429654</c:v>
                      </c:pt>
                      <c:pt idx="66">
                        <c:v>5.275897270408251</c:v>
                      </c:pt>
                      <c:pt idx="67">
                        <c:v>4.3965810586735552</c:v>
                      </c:pt>
                      <c:pt idx="68">
                        <c:v>3.5172648469388332</c:v>
                      </c:pt>
                      <c:pt idx="69">
                        <c:v>2.6379486352041273</c:v>
                      </c:pt>
                      <c:pt idx="70">
                        <c:v>1.7586324234694144</c:v>
                      </c:pt>
                      <c:pt idx="71">
                        <c:v>0.87931621173470897</c:v>
                      </c:pt>
                      <c:pt idx="72">
                        <c:v>-1.2687585701894498E-14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5D82-4DC0-A600-B1D85135C81F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61-33%'!$B$8:$B$130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61-33%'!$D$8:$D$130</c15:sqref>
                        </c15:formulaRef>
                      </c:ext>
                    </c:extLst>
                    <c:numCache>
                      <c:formatCode>0.00</c:formatCode>
                      <c:ptCount val="12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0.58600902636719299</c:v>
                      </c:pt>
                      <c:pt idx="45">
                        <c:v>0.57099038243342937</c:v>
                      </c:pt>
                      <c:pt idx="46">
                        <c:v>0.54543863647206026</c:v>
                      </c:pt>
                      <c:pt idx="47">
                        <c:v>0.52423591840390538</c:v>
                      </c:pt>
                      <c:pt idx="48">
                        <c:v>0.49874195028860768</c:v>
                      </c:pt>
                      <c:pt idx="49">
                        <c:v>0.47795772457412411</c:v>
                      </c:pt>
                      <c:pt idx="50">
                        <c:v>0.45564656314473551</c:v>
                      </c:pt>
                      <c:pt idx="51">
                        <c:v>0.43416082492001606</c:v>
                      </c:pt>
                      <c:pt idx="52">
                        <c:v>0.41458491834958111</c:v>
                      </c:pt>
                      <c:pt idx="53">
                        <c:v>0.41458491834958111</c:v>
                      </c:pt>
                      <c:pt idx="54">
                        <c:v>0.41458491834958111</c:v>
                      </c:pt>
                      <c:pt idx="55">
                        <c:v>0.41458491834958111</c:v>
                      </c:pt>
                      <c:pt idx="56">
                        <c:v>0.41458491834958111</c:v>
                      </c:pt>
                      <c:pt idx="57">
                        <c:v>0.41458491834958111</c:v>
                      </c:pt>
                      <c:pt idx="58">
                        <c:v>0.41458491834958111</c:v>
                      </c:pt>
                      <c:pt idx="59">
                        <c:v>0.41458491834958111</c:v>
                      </c:pt>
                      <c:pt idx="60">
                        <c:v>0.41458491834958111</c:v>
                      </c:pt>
                      <c:pt idx="61">
                        <c:v>0.41458491834958111</c:v>
                      </c:pt>
                      <c:pt idx="62">
                        <c:v>0.41458491834958111</c:v>
                      </c:pt>
                      <c:pt idx="63">
                        <c:v>0.41458491834958111</c:v>
                      </c:pt>
                      <c:pt idx="64">
                        <c:v>0.41458491834958111</c:v>
                      </c:pt>
                      <c:pt idx="65">
                        <c:v>0.41458491834958111</c:v>
                      </c:pt>
                      <c:pt idx="66">
                        <c:v>0.41458491834958111</c:v>
                      </c:pt>
                      <c:pt idx="67">
                        <c:v>0.41458491834958111</c:v>
                      </c:pt>
                      <c:pt idx="68">
                        <c:v>0.41458491834958111</c:v>
                      </c:pt>
                      <c:pt idx="69">
                        <c:v>0.41458491834958111</c:v>
                      </c:pt>
                      <c:pt idx="70">
                        <c:v>0.41458491834958111</c:v>
                      </c:pt>
                      <c:pt idx="71">
                        <c:v>0.41458491834958111</c:v>
                      </c:pt>
                      <c:pt idx="72">
                        <c:v>0.41458491834958111</c:v>
                      </c:pt>
                      <c:pt idx="73">
                        <c:v>0.41458491834958111</c:v>
                      </c:pt>
                      <c:pt idx="74">
                        <c:v>0.41458491834958111</c:v>
                      </c:pt>
                      <c:pt idx="75">
                        <c:v>0.41458491834958111</c:v>
                      </c:pt>
                      <c:pt idx="76">
                        <c:v>0.41458491834958111</c:v>
                      </c:pt>
                      <c:pt idx="77">
                        <c:v>0.41458491834958111</c:v>
                      </c:pt>
                      <c:pt idx="78">
                        <c:v>0.41458491834958111</c:v>
                      </c:pt>
                      <c:pt idx="79">
                        <c:v>0.41458491834958111</c:v>
                      </c:pt>
                      <c:pt idx="80">
                        <c:v>0.41458491834958111</c:v>
                      </c:pt>
                      <c:pt idx="81">
                        <c:v>0.41458491834958111</c:v>
                      </c:pt>
                      <c:pt idx="82">
                        <c:v>0.41458491834958111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5D82-4DC0-A600-B1D85135C81F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Carbon Dioxide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'Scenario 65-25%'!$C$7</c:f>
              <c:strCache>
                <c:ptCount val="1"/>
                <c:pt idx="0">
                  <c:v>CO2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BA49A44-0DA7-43A7-B86E-BC9BB636C78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C6E-497C-B655-CFD5FA6A90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6E-497C-B655-CFD5FA6A90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6E-497C-B655-CFD5FA6A90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6E-497C-B655-CFD5FA6A90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6E-497C-B655-CFD5FA6A90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6E-497C-B655-CFD5FA6A90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6E-497C-B655-CFD5FA6A90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6E-497C-B655-CFD5FA6A90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6E-497C-B655-CFD5FA6A90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6E-497C-B655-CFD5FA6A90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6E-497C-B655-CFD5FA6A90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6E-497C-B655-CFD5FA6A90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1349581-6471-4F56-B770-B36698606B8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C6E-497C-B655-CFD5FA6A90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CC3560D-3C12-4BF7-86B4-318AE7478E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C6E-497C-B655-CFD5FA6A90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3DA6A00-EACE-41A0-8D74-6A56A45084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C6E-497C-B655-CFD5FA6A90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FF80F80-6489-4A91-8191-2FF82FC24C8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C6E-497C-B655-CFD5FA6A90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35FF14A-CF14-4F21-BBF7-96E26FF7DD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C6E-497C-B655-CFD5FA6A90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EF82C28-BF43-47B0-9C52-F7D42FE3446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C6E-497C-B655-CFD5FA6A90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E1C07B7-6D7B-45C5-BAD9-D5EE78932C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C6E-497C-B655-CFD5FA6A90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4DBCF56-8C5D-440F-BABB-D154248D3A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C6E-497C-B655-CFD5FA6A90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B499030-57C4-4004-9E3A-AFA1BF678F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C6E-497C-B655-CFD5FA6A90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E5B2393-7BAC-428E-9D3A-5D29D14AB7C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C6E-497C-B655-CFD5FA6A90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E3B4412-CFF3-441A-9A3E-C2229BBD64D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C6E-497C-B655-CFD5FA6A90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7B58C91-A3AD-4B81-90E3-2234D355CE7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C6E-497C-B655-CFD5FA6A90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B4715D8-7AD8-43D9-AFAA-E693E40F49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C6E-497C-B655-CFD5FA6A90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113DB48-ED80-4494-B631-6B2DB00D937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C6E-497C-B655-CFD5FA6A90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7691BA1-AD9A-4F71-8948-128595B690A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C6E-497C-B655-CFD5FA6A90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7F9C131-6326-47B4-8A52-B33FD7D4A9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C6E-497C-B655-CFD5FA6A90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BFFE1E7-BEDB-43FD-8333-11F2677EBE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C6E-497C-B655-CFD5FA6A9016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6C0241B-B661-476D-BABB-A6584936A0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C6E-497C-B655-CFD5FA6A9016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F007EE0-F557-4EFC-B8BC-51EA4ACC103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C6E-497C-B655-CFD5FA6A9016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5FF4FCB-6280-416F-ABC4-C5B2F2E780C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C6E-497C-B655-CFD5FA6A9016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090B636-7F2F-468E-94B2-E8ACB59293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C6E-497C-B655-CFD5FA6A9016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7CDC1F7-C6C9-4FBC-8D0E-B23C151EE6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C6E-497C-B655-CFD5FA6A9016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9EDF7D4F-46F9-4C02-B4C3-C0D2E76EF4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C6E-497C-B655-CFD5FA6A9016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6D23F918-ED1D-4BB1-88C7-582925A07DF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C6E-497C-B655-CFD5FA6A9016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9BD02C1-2F8B-434D-B1A4-2B291C7841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C6E-497C-B655-CFD5FA6A9016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35EAA06-2A00-42AF-B570-6FEBAF36C2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C6E-497C-B655-CFD5FA6A9016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1E00201-F344-46E4-82E7-B01915290F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C6E-497C-B655-CFD5FA6A9016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767CD65D-C5B5-4023-95F5-A837B70710F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C6E-497C-B655-CFD5FA6A9016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5689BC4C-9BAD-4999-AEB4-01DCE409A0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C6E-497C-B655-CFD5FA6A9016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C8211860-B433-4C99-8B35-554CB3853A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C6E-497C-B655-CFD5FA6A9016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B663C9A-6DF8-4886-AD85-2BFFB97E5A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C6E-497C-B655-CFD5FA6A9016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5771A7F6-1E10-4BCD-B39B-7EA8D779DD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C6E-497C-B655-CFD5FA6A9016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C6FA0105-B364-4EC3-91EE-091C1A2C8F4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C6E-497C-B655-CFD5FA6A9016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9D9E547D-BF3E-486A-89C9-E05A0D8F09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C6E-497C-B655-CFD5FA6A9016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8F16A3C-8C17-4FC2-96E7-55E811B549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9C6E-497C-B655-CFD5FA6A9016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B79C8DBC-9364-4F23-8E51-9699A45E59F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9C6E-497C-B655-CFD5FA6A9016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802D165-B4ED-4250-94CB-6F42F566CC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9C6E-497C-B655-CFD5FA6A9016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7E93A950-58BA-403A-8E0B-DF7DBFEFA39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9C6E-497C-B655-CFD5FA6A9016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675E1598-4AEB-4FEC-8666-CD3F2CA5A4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9C6E-497C-B655-CFD5FA6A9016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38CF97AD-2508-4DAA-9102-2C5C2FA23E2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9C6E-497C-B655-CFD5FA6A9016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E230396-1855-48F1-934C-19B28034BD8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9C6E-497C-B655-CFD5FA6A9016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B626BB3-7C45-4EA4-AC89-8FB4F8BE49F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9C6E-497C-B655-CFD5FA6A9016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7C9DA8B1-0AFE-4B86-BEEC-DAC233BD60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9C6E-497C-B655-CFD5FA6A9016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DDD9A149-BB37-4B4A-A27A-2FC86963CAA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9C6E-497C-B655-CFD5FA6A9016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25D1BE9B-D319-4CC8-AE24-54C5088133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9C6E-497C-B655-CFD5FA6A9016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C30F3FB1-A609-43C2-AD33-A7DE9CBAE6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9C6E-497C-B655-CFD5FA6A9016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59FC097-5E2A-401F-B4EE-C2AF20309F2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9C6E-497C-B655-CFD5FA6A9016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BA864782-A339-467D-BF7C-950E7B61FE8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9C6E-497C-B655-CFD5FA6A9016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749866F5-B4CC-4E9C-B6F3-E9C5FC0B7D3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9C6E-497C-B655-CFD5FA6A9016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2397E580-8CC3-4B3E-BB38-B88C7BAC7B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9C6E-497C-B655-CFD5FA6A9016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427203B7-42CC-4AA1-A943-32E459CC15A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9C6E-497C-B655-CFD5FA6A9016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C7704A16-BE66-4F4A-B334-0CC31B6951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9C6E-497C-B655-CFD5FA6A9016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65E6E663-E8E7-460A-8199-086E53F17A8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9C6E-497C-B655-CFD5FA6A9016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6B3DC192-0227-4D82-B820-829BD821C0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9C6E-497C-B655-CFD5FA6A9016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01D2F57D-278D-4BA2-9D78-246151E302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9C6E-497C-B655-CFD5FA6A9016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886403F3-F4F2-4C13-9692-7431261BAA7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9C6E-497C-B655-CFD5FA6A9016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8E6F3A37-E8B1-46B5-8CCE-B1C9C97EB8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9C6E-497C-B655-CFD5FA6A9016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2513EDA5-A0C6-4728-B962-39435DF457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9C6E-497C-B655-CFD5FA6A9016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2480E48D-3350-4C8A-89EA-79736D25FB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9C6E-497C-B655-CFD5FA6A9016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A1276CB0-6DEF-48DC-A412-963433C234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9C6E-497C-B655-CFD5FA6A9016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4DEA6BC3-3DF9-4E3B-97AF-C54CA9B275C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9C6E-497C-B655-CFD5FA6A9016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11DD740E-ADFD-4286-A423-9054287B70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9C6E-497C-B655-CFD5FA6A9016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BBDF0830-1EB5-464E-8FFA-6409B7C1D09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9C6E-497C-B655-CFD5FA6A9016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AF5BF3AC-2081-44E5-8914-0ACD5F1C1D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9C6E-497C-B655-CFD5FA6A9016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B353E2D8-57F5-45EF-B45A-6FC070FB5A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9C6E-497C-B655-CFD5FA6A9016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AC19F6DA-8153-40F0-A37C-A21FFEB1626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9C6E-497C-B655-CFD5FA6A9016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83DE6E7A-71AA-41F1-893D-B11465595C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9C6E-497C-B655-CFD5FA6A9016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10D1038-C522-4350-A76D-CA858B2D4D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9C6E-497C-B655-CFD5FA6A9016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50E8EA57-20EA-46BA-941D-EFF537EF768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9C6E-497C-B655-CFD5FA6A9016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87E24C14-76A9-45C6-B679-CE2C9DA96B9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9C6E-497C-B655-CFD5FA6A9016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E4AC410F-68D6-4061-8EF0-45FC58FD364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9C6E-497C-B655-CFD5FA6A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'Scenario 65-25%'!$B$8:$B$90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65-25%'!$C$8:$C$90</c:f>
              <c:numCache>
                <c:formatCode>0.0</c:formatCode>
                <c:ptCount val="8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 formatCode="0.00">
                  <c:v>42.847003375390081</c:v>
                </c:pt>
                <c:pt idx="42" formatCode="0.00">
                  <c:v>37.397075829274357</c:v>
                </c:pt>
                <c:pt idx="43" formatCode="0.00">
                  <c:v>39.435832369375916</c:v>
                </c:pt>
                <c:pt idx="44" formatCode="0.00">
                  <c:v>39.776119634842686</c:v>
                </c:pt>
                <c:pt idx="45" formatCode="0.00">
                  <c:v>40.445772709846956</c:v>
                </c:pt>
                <c:pt idx="46" formatCode="0.00">
                  <c:v>34.929556881996604</c:v>
                </c:pt>
                <c:pt idx="47" formatCode="0.00">
                  <c:v>30.904049544049634</c:v>
                </c:pt>
                <c:pt idx="48" formatCode="0.00">
                  <c:v>26.410855673255206</c:v>
                </c:pt>
                <c:pt idx="49" formatCode="0.00">
                  <c:v>23.360660795095029</c:v>
                </c:pt>
                <c:pt idx="50" formatCode="0.00">
                  <c:v>20.337891552572088</c:v>
                </c:pt>
                <c:pt idx="51" formatCode="0.00">
                  <c:v>17.811873104552195</c:v>
                </c:pt>
                <c:pt idx="52" formatCode="0.00">
                  <c:v>15.980663828404511</c:v>
                </c:pt>
                <c:pt idx="53">
                  <c:v>15.181630636984289</c:v>
                </c:pt>
                <c:pt idx="54">
                  <c:v>14.382597445564068</c:v>
                </c:pt>
                <c:pt idx="55">
                  <c:v>13.583564254143836</c:v>
                </c:pt>
                <c:pt idx="56">
                  <c:v>12.784531062723604</c:v>
                </c:pt>
                <c:pt idx="57">
                  <c:v>11.985497871303387</c:v>
                </c:pt>
                <c:pt idx="58">
                  <c:v>11.186464679883153</c:v>
                </c:pt>
                <c:pt idx="59">
                  <c:v>10.387431488462932</c:v>
                </c:pt>
                <c:pt idx="60">
                  <c:v>9.5883982970427066</c:v>
                </c:pt>
                <c:pt idx="61">
                  <c:v>8.7893651056224851</c:v>
                </c:pt>
                <c:pt idx="62">
                  <c:v>7.990331914202244</c:v>
                </c:pt>
                <c:pt idx="63">
                  <c:v>7.1912987227820286</c:v>
                </c:pt>
                <c:pt idx="64">
                  <c:v>6.3922655313618026</c:v>
                </c:pt>
                <c:pt idx="65">
                  <c:v>5.593232339941574</c:v>
                </c:pt>
                <c:pt idx="66">
                  <c:v>4.7941991485213613</c:v>
                </c:pt>
                <c:pt idx="67">
                  <c:v>3.9951659571011287</c:v>
                </c:pt>
                <c:pt idx="68">
                  <c:v>3.1961327656808964</c:v>
                </c:pt>
                <c:pt idx="69">
                  <c:v>2.3970995742606847</c:v>
                </c:pt>
                <c:pt idx="70">
                  <c:v>1.598066382840446</c:v>
                </c:pt>
                <c:pt idx="71">
                  <c:v>0.79903319142022455</c:v>
                </c:pt>
                <c:pt idx="72">
                  <c:v>-9.6488780250976305E-15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65-25%'!$P$8:$P$130</c15:f>
                <c15:dlblRangeCache>
                  <c:ptCount val="123"/>
                  <c:pt idx="42">
                    <c:v>15%</c:v>
                  </c:pt>
                  <c:pt idx="47">
                    <c:v>30%</c:v>
                  </c:pt>
                  <c:pt idx="52">
                    <c:v>64%</c:v>
                  </c:pt>
                  <c:pt idx="62">
                    <c:v>82%</c:v>
                  </c:pt>
                  <c:pt idx="72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9C6E-497C-B655-CFD5FA6A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'Scenario 65-25%'!$D$7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65-25%'!$B$8:$B$90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65-25%'!$D$8:$D$90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0.59071904207222603</c:v>
                      </c:pt>
                      <c:pt idx="45">
                        <c:v>0.58041041384349545</c:v>
                      </c:pt>
                      <c:pt idx="46">
                        <c:v>0.55956868358715939</c:v>
                      </c:pt>
                      <c:pt idx="47">
                        <c:v>0.54307598122403755</c:v>
                      </c:pt>
                      <c:pt idx="48">
                        <c:v>0.52229202881377301</c:v>
                      </c:pt>
                      <c:pt idx="49">
                        <c:v>0.50621781880432237</c:v>
                      </c:pt>
                      <c:pt idx="50">
                        <c:v>0.48861667307996687</c:v>
                      </c:pt>
                      <c:pt idx="51">
                        <c:v>0.47184095056028047</c:v>
                      </c:pt>
                      <c:pt idx="52">
                        <c:v>0.45697505969487856</c:v>
                      </c:pt>
                      <c:pt idx="53">
                        <c:v>0.45697505969487856</c:v>
                      </c:pt>
                      <c:pt idx="54">
                        <c:v>0.45697505969487856</c:v>
                      </c:pt>
                      <c:pt idx="55">
                        <c:v>0.45697505969487856</c:v>
                      </c:pt>
                      <c:pt idx="56">
                        <c:v>0.45697505969487856</c:v>
                      </c:pt>
                      <c:pt idx="57">
                        <c:v>0.45697505969487856</c:v>
                      </c:pt>
                      <c:pt idx="58">
                        <c:v>0.45697505969487856</c:v>
                      </c:pt>
                      <c:pt idx="59">
                        <c:v>0.45697505969487856</c:v>
                      </c:pt>
                      <c:pt idx="60">
                        <c:v>0.45697505969487856</c:v>
                      </c:pt>
                      <c:pt idx="61">
                        <c:v>0.45697505969487856</c:v>
                      </c:pt>
                      <c:pt idx="62">
                        <c:v>0.45697505969487856</c:v>
                      </c:pt>
                      <c:pt idx="63">
                        <c:v>0.45697505969487856</c:v>
                      </c:pt>
                      <c:pt idx="64">
                        <c:v>0.45697505969487856</c:v>
                      </c:pt>
                      <c:pt idx="65">
                        <c:v>0.45697505969487856</c:v>
                      </c:pt>
                      <c:pt idx="66">
                        <c:v>0.45697505969487856</c:v>
                      </c:pt>
                      <c:pt idx="67">
                        <c:v>0.45697505969487856</c:v>
                      </c:pt>
                      <c:pt idx="68">
                        <c:v>0.45697505969487856</c:v>
                      </c:pt>
                      <c:pt idx="69">
                        <c:v>0.45697505969487856</c:v>
                      </c:pt>
                      <c:pt idx="70">
                        <c:v>0.45697505969487856</c:v>
                      </c:pt>
                      <c:pt idx="71">
                        <c:v>0.45697505969487856</c:v>
                      </c:pt>
                      <c:pt idx="72">
                        <c:v>0.45697505969487856</c:v>
                      </c:pt>
                      <c:pt idx="73">
                        <c:v>0.45697505969487856</c:v>
                      </c:pt>
                      <c:pt idx="74">
                        <c:v>0.45697505969487856</c:v>
                      </c:pt>
                      <c:pt idx="75">
                        <c:v>0.45697505969487856</c:v>
                      </c:pt>
                      <c:pt idx="76">
                        <c:v>0.45697505969487856</c:v>
                      </c:pt>
                      <c:pt idx="77">
                        <c:v>0.45697505969487856</c:v>
                      </c:pt>
                      <c:pt idx="78">
                        <c:v>0.45697505969487856</c:v>
                      </c:pt>
                      <c:pt idx="79">
                        <c:v>0.45697505969487856</c:v>
                      </c:pt>
                      <c:pt idx="80">
                        <c:v>0.45697505969487856</c:v>
                      </c:pt>
                      <c:pt idx="81">
                        <c:v>0.45697505969487856</c:v>
                      </c:pt>
                      <c:pt idx="82">
                        <c:v>0.45697505969487856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9C6E-497C-B655-CFD5FA6A901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2.3691451532104148E-2</c:v>
                      </c:pt>
                      <c:pt idx="45">
                        <c:v>2.3524953479747607E-2</c:v>
                      </c:pt>
                      <c:pt idx="46">
                        <c:v>2.2597033464661267E-2</c:v>
                      </c:pt>
                      <c:pt idx="47">
                        <c:v>2.1983498076794825E-2</c:v>
                      </c:pt>
                      <c:pt idx="48">
                        <c:v>2.1059754734529351E-2</c:v>
                      </c:pt>
                      <c:pt idx="49">
                        <c:v>2.0476471523892814E-2</c:v>
                      </c:pt>
                      <c:pt idx="50">
                        <c:v>1.9782808447385985E-2</c:v>
                      </c:pt>
                      <c:pt idx="51">
                        <c:v>1.9148813961854041E-2</c:v>
                      </c:pt>
                      <c:pt idx="52">
                        <c:v>1.8652878308646856E-2</c:v>
                      </c:pt>
                      <c:pt idx="53" formatCode="0.0">
                        <c:v>1.8652878308646856E-2</c:v>
                      </c:pt>
                      <c:pt idx="54" formatCode="0.0">
                        <c:v>1.8652878308646856E-2</c:v>
                      </c:pt>
                      <c:pt idx="55" formatCode="0.0">
                        <c:v>1.8652878308646856E-2</c:v>
                      </c:pt>
                      <c:pt idx="56" formatCode="0.0">
                        <c:v>1.8652878308646856E-2</c:v>
                      </c:pt>
                      <c:pt idx="57" formatCode="0.0">
                        <c:v>1.8652878308646856E-2</c:v>
                      </c:pt>
                      <c:pt idx="58" formatCode="0.0">
                        <c:v>1.8652878308646856E-2</c:v>
                      </c:pt>
                      <c:pt idx="59" formatCode="0.0">
                        <c:v>1.8652878308646856E-2</c:v>
                      </c:pt>
                      <c:pt idx="60" formatCode="0.0">
                        <c:v>1.8652878308646856E-2</c:v>
                      </c:pt>
                      <c:pt idx="61" formatCode="0.0">
                        <c:v>1.8652878308646856E-2</c:v>
                      </c:pt>
                      <c:pt idx="62" formatCode="0.0">
                        <c:v>1.8652878308646856E-2</c:v>
                      </c:pt>
                      <c:pt idx="63" formatCode="0.0">
                        <c:v>1.8652878308646856E-2</c:v>
                      </c:pt>
                      <c:pt idx="64" formatCode="0.0">
                        <c:v>1.8652878308646856E-2</c:v>
                      </c:pt>
                      <c:pt idx="65" formatCode="0.0">
                        <c:v>1.8652878308646856E-2</c:v>
                      </c:pt>
                      <c:pt idx="66" formatCode="0.0">
                        <c:v>1.8652878308646856E-2</c:v>
                      </c:pt>
                      <c:pt idx="67" formatCode="0.0">
                        <c:v>1.8652878308646856E-2</c:v>
                      </c:pt>
                      <c:pt idx="68" formatCode="0.0">
                        <c:v>1.8652878308646856E-2</c:v>
                      </c:pt>
                      <c:pt idx="69" formatCode="0.0">
                        <c:v>1.8652878308646856E-2</c:v>
                      </c:pt>
                      <c:pt idx="70" formatCode="0.0">
                        <c:v>1.8652878308646856E-2</c:v>
                      </c:pt>
                      <c:pt idx="71" formatCode="0.0">
                        <c:v>1.8652878308646856E-2</c:v>
                      </c:pt>
                      <c:pt idx="72" formatCode="0.0">
                        <c:v>1.8652878308646856E-2</c:v>
                      </c:pt>
                      <c:pt idx="73" formatCode="0.0">
                        <c:v>1.8652878308646856E-2</c:v>
                      </c:pt>
                      <c:pt idx="74" formatCode="0.0">
                        <c:v>1.8652878308646856E-2</c:v>
                      </c:pt>
                      <c:pt idx="75" formatCode="0.0">
                        <c:v>1.8652878308646856E-2</c:v>
                      </c:pt>
                      <c:pt idx="76" formatCode="0.0">
                        <c:v>1.8652878308646856E-2</c:v>
                      </c:pt>
                      <c:pt idx="77" formatCode="0.0">
                        <c:v>1.8652878308646856E-2</c:v>
                      </c:pt>
                      <c:pt idx="78" formatCode="0.0">
                        <c:v>1.8652878308646856E-2</c:v>
                      </c:pt>
                      <c:pt idx="79" formatCode="0.0">
                        <c:v>1.8652878308646856E-2</c:v>
                      </c:pt>
                      <c:pt idx="80" formatCode="0.0">
                        <c:v>1.8652878308646856E-2</c:v>
                      </c:pt>
                      <c:pt idx="81" formatCode="0.0">
                        <c:v>1.8652878308646856E-2</c:v>
                      </c:pt>
                      <c:pt idx="82" formatCode="0.0">
                        <c:v>1.8652878308646856E-2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9C6E-497C-B655-CFD5FA6A9016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Methane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'Scenario 65-25%'!$D$7</c:f>
              <c:strCache>
                <c:ptCount val="1"/>
                <c:pt idx="0">
                  <c:v>CH4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714D3CF-2E2D-468C-A2BD-E71616D71A6E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901-4B0A-B560-71450B6F3B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01-4B0A-B560-71450B6F3BF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01-4B0A-B560-71450B6F3BF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01-4B0A-B560-71450B6F3BF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01-4B0A-B560-71450B6F3BF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01-4B0A-B560-71450B6F3BF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01-4B0A-B560-71450B6F3BF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01-4B0A-B560-71450B6F3BF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01-4B0A-B560-71450B6F3BF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01-4B0A-B560-71450B6F3BF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01-4B0A-B560-71450B6F3BF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01-4B0A-B560-71450B6F3BF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39C12D2-2E86-4BC9-99ED-D231419C3C6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901-4B0A-B560-71450B6F3BF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1AF526-74A9-4104-9040-A1378C4CBF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901-4B0A-B560-71450B6F3BF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1305C3B-068B-4AF5-8000-0DD9B64DF3B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901-4B0A-B560-71450B6F3BF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D55D3C5-EF3C-45D8-B5A4-CB397C1E81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901-4B0A-B560-71450B6F3BF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8A13FF3-66A0-46CC-9697-1877B3C18A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901-4B0A-B560-71450B6F3BF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EB2DE61-266D-4CDB-837A-1D10C8A690A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901-4B0A-B560-71450B6F3BF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BEB9468-B7CB-4CF7-966A-68DC243F4DB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901-4B0A-B560-71450B6F3BF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D6F44AF-AA2D-450E-946B-E1C18DCE4E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901-4B0A-B560-71450B6F3BF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EFA5408-942C-4ADE-96F7-66E53C1171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901-4B0A-B560-71450B6F3BF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2722904-D95F-4737-B02C-D8B0B25B5D6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901-4B0A-B560-71450B6F3BF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4218EA3-15B3-4C7E-915B-56CF9CDD6A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901-4B0A-B560-71450B6F3BF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B514AE1-126E-4F46-AEC6-71428B234A4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901-4B0A-B560-71450B6F3BF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F74A066-7999-4708-8444-FA9C6394B14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901-4B0A-B560-71450B6F3BF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588C618-0949-4B1C-936F-F7B69459CF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901-4B0A-B560-71450B6F3BF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659CAD4-195B-4B8A-96D3-ED9AF99DE7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901-4B0A-B560-71450B6F3BF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44E3FDD-8C76-4712-A059-A20D22D653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901-4B0A-B560-71450B6F3BF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59C039D-0F31-48D2-93F4-6B340F01D7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901-4B0A-B560-71450B6F3BF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6187528C-0F6A-444B-AFF2-63020D55A9E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901-4B0A-B560-71450B6F3BF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29C0708-5B63-41EC-B0A8-BAD64BA4277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901-4B0A-B560-71450B6F3BFA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E956242-AE24-4008-90E6-E4C319A07FB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901-4B0A-B560-71450B6F3BF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01CE50A-994E-48CE-A524-7213D306294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901-4B0A-B560-71450B6F3BF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850EFB6-B52C-43A7-987F-53C0D13455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901-4B0A-B560-71450B6F3BF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804852A-94DF-4736-B36C-82840B42F13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901-4B0A-B560-71450B6F3BF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33380425-1CB9-41DB-AF97-6C00338C02E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901-4B0A-B560-71450B6F3BF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18911667-82C0-486A-9625-A28FC11AA6E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901-4B0A-B560-71450B6F3BF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89824C97-CA2E-4526-A11D-B88B113475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901-4B0A-B560-71450B6F3BF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00F002FB-BD34-4067-BDA8-DE6F58AD0D6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901-4B0A-B560-71450B6F3BFA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7DC35110-0EAD-43BA-BAB1-D1FFBA3FFC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901-4B0A-B560-71450B6F3BFA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6471ED43-FE13-400C-A560-91E516E3B7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901-4B0A-B560-71450B6F3BF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939A0488-E6FB-473C-81C2-4BFE3F025A9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901-4B0A-B560-71450B6F3BF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4DD3074-72E6-413A-AE70-4B2B0C6B75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901-4B0A-B560-71450B6F3BF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2953BBC-305F-4E7A-8514-56633D4687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901-4B0A-B560-71450B6F3BF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E31620D-55B3-4FFB-AAB1-9202285303E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901-4B0A-B560-71450B6F3BF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7790BC58-3041-4820-96BC-B352A664F18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901-4B0A-B560-71450B6F3BF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95F835E0-2C0B-4CE8-B6BB-A624607A2C0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901-4B0A-B560-71450B6F3BF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56F44DF-CC4D-492D-A042-5314C268786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901-4B0A-B560-71450B6F3BF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8D8722C-9DB5-4C7F-B1FC-A4996D96D3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901-4B0A-B560-71450B6F3BFA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73C577E-9F20-4939-9817-08F784ADA0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901-4B0A-B560-71450B6F3BFA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144102CC-4B46-4D69-8964-DFB7EBE95AF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901-4B0A-B560-71450B6F3BFA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9FD395C9-AC00-458F-8EB7-B735E7FA894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901-4B0A-B560-71450B6F3BFA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711334C5-F9A9-4F5F-906D-6A89B035D40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901-4B0A-B560-71450B6F3BFA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E5D5312F-3EC5-4978-AA13-4C374B0B0E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901-4B0A-B560-71450B6F3BFA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D6052C6A-C880-4374-8E65-0A1CBCBE7A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901-4B0A-B560-71450B6F3BF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D7105247-E1FA-47F8-AFA5-C42EA8BAB0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901-4B0A-B560-71450B6F3BFA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6560E23E-D283-4894-8C1C-919624B3FE7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901-4B0A-B560-71450B6F3BFA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5819EAEE-997E-42B2-A8B0-226FAC947E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901-4B0A-B560-71450B6F3BFA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FBE14C76-EDD6-4CEF-8728-20861CE752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901-4B0A-B560-71450B6F3BFA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351D2BC3-2DDB-4049-89DC-379AC8D779D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6901-4B0A-B560-71450B6F3BFA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08973778-48A0-4E95-B884-0F67126DF0F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901-4B0A-B560-71450B6F3BFA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8515ABB-2C37-4A09-9EB7-A3FFFEA3271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6901-4B0A-B560-71450B6F3BFA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F8A51ED6-82B2-42B1-9358-03172C434AF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901-4B0A-B560-71450B6F3BFA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62313EC1-0A84-41F2-AB98-455E3E6042D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6901-4B0A-B560-71450B6F3BFA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0DAB591C-6F33-4C4D-9439-3404E4E31F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901-4B0A-B560-71450B6F3BFA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94BAE500-C503-4366-A5F1-1CCAD264B20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6901-4B0A-B560-71450B6F3BFA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23D1FC98-EDF3-4273-92DE-7A9B5FFFF3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6901-4B0A-B560-71450B6F3BFA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31F4D7C5-B158-4DB2-9127-29915F229F3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6901-4B0A-B560-71450B6F3BFA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0FD22534-F10B-4BD0-A98F-AB8F864C9F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6901-4B0A-B560-71450B6F3BFA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0CB4B948-60E0-4022-A370-4FC400F2A1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6901-4B0A-B560-71450B6F3BFA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147CBAD3-A492-40AD-A5F0-970038224A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6901-4B0A-B560-71450B6F3BFA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632BC35A-88C1-4243-A455-EB92C7860C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6901-4B0A-B560-71450B6F3BFA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4B9249A2-C366-4BF1-B68B-946E92C423B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6901-4B0A-B560-71450B6F3BFA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5CE5C286-E1B4-4C0D-9E3C-811D467B73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6901-4B0A-B560-71450B6F3BFA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54249C5A-787A-47AC-AC6A-7BEFD6E4C3E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6901-4B0A-B560-71450B6F3BFA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020A8757-28AC-43DF-B6BB-94FEC72FC97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6901-4B0A-B560-71450B6F3BFA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77BF4941-0C37-4BE0-B62C-D4F49682919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6901-4B0A-B560-71450B6F3BFA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B65BD7CD-60B7-4FA3-B778-90D241AC76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6901-4B0A-B560-71450B6F3BFA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4DB52E77-91BA-4FDC-8D28-C14F8589F08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6901-4B0A-B560-71450B6F3BFA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76D89525-CE77-4D77-BB83-06830D2F58B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6901-4B0A-B560-71450B6F3BFA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C838B922-2EF3-4E5E-BA55-D6E5BAABF59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6901-4B0A-B560-71450B6F3BFA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790A4821-963C-41EA-8B5C-7294BD7E386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6901-4B0A-B560-71450B6F3BFA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C8D14540-F14D-4B40-88EC-4CD75BFF59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6901-4B0A-B560-71450B6F3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65-25%'!$B$8:$B$90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65-25%'!$D$8:$D$90</c:f>
              <c:numCache>
                <c:formatCode>0.00</c:formatCode>
                <c:ptCount val="83"/>
                <c:pt idx="12">
                  <c:v>0.56846617435307711</c:v>
                </c:pt>
                <c:pt idx="13">
                  <c:v>0.57899497527056076</c:v>
                </c:pt>
                <c:pt idx="14">
                  <c:v>0.58638316837148285</c:v>
                </c:pt>
                <c:pt idx="15">
                  <c:v>0.59483377727766906</c:v>
                </c:pt>
                <c:pt idx="16">
                  <c:v>0.59526602098909942</c:v>
                </c:pt>
                <c:pt idx="17">
                  <c:v>0.60059169683666336</c:v>
                </c:pt>
                <c:pt idx="18">
                  <c:v>0.61511089079967096</c:v>
                </c:pt>
                <c:pt idx="19">
                  <c:v>0.61488733682276098</c:v>
                </c:pt>
                <c:pt idx="20">
                  <c:v>0.62689098869315008</c:v>
                </c:pt>
                <c:pt idx="21">
                  <c:v>0.60985790475145341</c:v>
                </c:pt>
                <c:pt idx="22">
                  <c:v>0.59281659514673379</c:v>
                </c:pt>
                <c:pt idx="23">
                  <c:v>0.60653930034350212</c:v>
                </c:pt>
                <c:pt idx="24">
                  <c:v>0.59584131612224078</c:v>
                </c:pt>
                <c:pt idx="25">
                  <c:v>0.6315771849487738</c:v>
                </c:pt>
                <c:pt idx="26">
                  <c:v>0.58670195261344882</c:v>
                </c:pt>
                <c:pt idx="27">
                  <c:v>0.57896199008081672</c:v>
                </c:pt>
                <c:pt idx="28">
                  <c:v>0.58365900940295345</c:v>
                </c:pt>
                <c:pt idx="29">
                  <c:v>0.54949163157015002</c:v>
                </c:pt>
                <c:pt idx="30">
                  <c:v>0.54327868568762094</c:v>
                </c:pt>
                <c:pt idx="31">
                  <c:v>0.52849395261365861</c:v>
                </c:pt>
                <c:pt idx="32">
                  <c:v>0.53088913019285489</c:v>
                </c:pt>
                <c:pt idx="33">
                  <c:v>0.52067847685625956</c:v>
                </c:pt>
                <c:pt idx="34">
                  <c:v>0.54122860081163016</c:v>
                </c:pt>
                <c:pt idx="35">
                  <c:v>0.55563293823158555</c:v>
                </c:pt>
                <c:pt idx="36">
                  <c:v>0.56469371673730473</c:v>
                </c:pt>
                <c:pt idx="37">
                  <c:v>0.57912274054536717</c:v>
                </c:pt>
                <c:pt idx="38">
                  <c:v>0.59326897730059025</c:v>
                </c:pt>
                <c:pt idx="39">
                  <c:v>0.62003341514735055</c:v>
                </c:pt>
                <c:pt idx="40" formatCode="0.0">
                  <c:v>0.62362502085979499</c:v>
                </c:pt>
                <c:pt idx="41">
                  <c:v>0.60727248931136102</c:v>
                </c:pt>
                <c:pt idx="42">
                  <c:v>0.60563517202162709</c:v>
                </c:pt>
                <c:pt idx="43">
                  <c:v>0.60698426400733474</c:v>
                </c:pt>
                <c:pt idx="44">
                  <c:v>0.59071904207222603</c:v>
                </c:pt>
                <c:pt idx="45">
                  <c:v>0.58041041384349545</c:v>
                </c:pt>
                <c:pt idx="46">
                  <c:v>0.55956868358715939</c:v>
                </c:pt>
                <c:pt idx="47">
                  <c:v>0.54307598122403755</c:v>
                </c:pt>
                <c:pt idx="48">
                  <c:v>0.52229202881377301</c:v>
                </c:pt>
                <c:pt idx="49">
                  <c:v>0.50621781880432237</c:v>
                </c:pt>
                <c:pt idx="50">
                  <c:v>0.48861667307996687</c:v>
                </c:pt>
                <c:pt idx="51">
                  <c:v>0.47184095056028047</c:v>
                </c:pt>
                <c:pt idx="52">
                  <c:v>0.45697505969487856</c:v>
                </c:pt>
                <c:pt idx="53">
                  <c:v>0.45697505969487856</c:v>
                </c:pt>
                <c:pt idx="54">
                  <c:v>0.45697505969487856</c:v>
                </c:pt>
                <c:pt idx="55">
                  <c:v>0.45697505969487856</c:v>
                </c:pt>
                <c:pt idx="56">
                  <c:v>0.45697505969487856</c:v>
                </c:pt>
                <c:pt idx="57">
                  <c:v>0.45697505969487856</c:v>
                </c:pt>
                <c:pt idx="58">
                  <c:v>0.45697505969487856</c:v>
                </c:pt>
                <c:pt idx="59">
                  <c:v>0.45697505969487856</c:v>
                </c:pt>
                <c:pt idx="60">
                  <c:v>0.45697505969487856</c:v>
                </c:pt>
                <c:pt idx="61">
                  <c:v>0.45697505969487856</c:v>
                </c:pt>
                <c:pt idx="62">
                  <c:v>0.45697505969487856</c:v>
                </c:pt>
                <c:pt idx="63">
                  <c:v>0.45697505969487856</c:v>
                </c:pt>
                <c:pt idx="64">
                  <c:v>0.45697505969487856</c:v>
                </c:pt>
                <c:pt idx="65">
                  <c:v>0.45697505969487856</c:v>
                </c:pt>
                <c:pt idx="66">
                  <c:v>0.45697505969487856</c:v>
                </c:pt>
                <c:pt idx="67">
                  <c:v>0.45697505969487856</c:v>
                </c:pt>
                <c:pt idx="68">
                  <c:v>0.45697505969487856</c:v>
                </c:pt>
                <c:pt idx="69">
                  <c:v>0.45697505969487856</c:v>
                </c:pt>
                <c:pt idx="70">
                  <c:v>0.45697505969487856</c:v>
                </c:pt>
                <c:pt idx="71">
                  <c:v>0.45697505969487856</c:v>
                </c:pt>
                <c:pt idx="72">
                  <c:v>0.45697505969487856</c:v>
                </c:pt>
                <c:pt idx="73">
                  <c:v>0.45697505969487856</c:v>
                </c:pt>
                <c:pt idx="74">
                  <c:v>0.45697505969487856</c:v>
                </c:pt>
                <c:pt idx="75">
                  <c:v>0.45697505969487856</c:v>
                </c:pt>
                <c:pt idx="76">
                  <c:v>0.45697505969487856</c:v>
                </c:pt>
                <c:pt idx="77">
                  <c:v>0.45697505969487856</c:v>
                </c:pt>
                <c:pt idx="78">
                  <c:v>0.45697505969487856</c:v>
                </c:pt>
                <c:pt idx="79">
                  <c:v>0.45697505969487856</c:v>
                </c:pt>
                <c:pt idx="80">
                  <c:v>0.45697505969487856</c:v>
                </c:pt>
                <c:pt idx="81">
                  <c:v>0.45697505969487856</c:v>
                </c:pt>
                <c:pt idx="82">
                  <c:v>0.45697505969487856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65-25%'!$Q$8:$Q$130</c15:f>
                <c15:dlblRangeCache>
                  <c:ptCount val="123"/>
                  <c:pt idx="42">
                    <c:v>3%</c:v>
                  </c:pt>
                  <c:pt idx="47">
                    <c:v>13%</c:v>
                  </c:pt>
                  <c:pt idx="52">
                    <c:v>27%</c:v>
                  </c:pt>
                  <c:pt idx="62">
                    <c:v>27%</c:v>
                  </c:pt>
                  <c:pt idx="72">
                    <c:v>27%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6901-4B0A-B560-71450B6F3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65-25%'!$C$7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65-25%'!$B$8:$B$90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65-25%'!$C$8:$C$90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39.435832369375916</c:v>
                      </c:pt>
                      <c:pt idx="44" formatCode="0.00">
                        <c:v>39.776119634842686</c:v>
                      </c:pt>
                      <c:pt idx="45" formatCode="0.00">
                        <c:v>40.445772709846956</c:v>
                      </c:pt>
                      <c:pt idx="46" formatCode="0.00">
                        <c:v>34.929556881996604</c:v>
                      </c:pt>
                      <c:pt idx="47" formatCode="0.00">
                        <c:v>30.904049544049634</c:v>
                      </c:pt>
                      <c:pt idx="48" formatCode="0.00">
                        <c:v>26.410855673255206</c:v>
                      </c:pt>
                      <c:pt idx="49" formatCode="0.00">
                        <c:v>23.360660795095029</c:v>
                      </c:pt>
                      <c:pt idx="50" formatCode="0.00">
                        <c:v>20.337891552572088</c:v>
                      </c:pt>
                      <c:pt idx="51" formatCode="0.00">
                        <c:v>17.811873104552195</c:v>
                      </c:pt>
                      <c:pt idx="52" formatCode="0.00">
                        <c:v>15.980663828404511</c:v>
                      </c:pt>
                      <c:pt idx="53">
                        <c:v>15.181630636984289</c:v>
                      </c:pt>
                      <c:pt idx="54">
                        <c:v>14.382597445564068</c:v>
                      </c:pt>
                      <c:pt idx="55">
                        <c:v>13.583564254143836</c:v>
                      </c:pt>
                      <c:pt idx="56">
                        <c:v>12.784531062723604</c:v>
                      </c:pt>
                      <c:pt idx="57">
                        <c:v>11.985497871303387</c:v>
                      </c:pt>
                      <c:pt idx="58">
                        <c:v>11.186464679883153</c:v>
                      </c:pt>
                      <c:pt idx="59">
                        <c:v>10.387431488462932</c:v>
                      </c:pt>
                      <c:pt idx="60">
                        <c:v>9.5883982970427066</c:v>
                      </c:pt>
                      <c:pt idx="61">
                        <c:v>8.7893651056224851</c:v>
                      </c:pt>
                      <c:pt idx="62">
                        <c:v>7.990331914202244</c:v>
                      </c:pt>
                      <c:pt idx="63">
                        <c:v>7.1912987227820286</c:v>
                      </c:pt>
                      <c:pt idx="64">
                        <c:v>6.3922655313618026</c:v>
                      </c:pt>
                      <c:pt idx="65">
                        <c:v>5.593232339941574</c:v>
                      </c:pt>
                      <c:pt idx="66">
                        <c:v>4.7941991485213613</c:v>
                      </c:pt>
                      <c:pt idx="67">
                        <c:v>3.9951659571011287</c:v>
                      </c:pt>
                      <c:pt idx="68">
                        <c:v>3.1961327656808964</c:v>
                      </c:pt>
                      <c:pt idx="69">
                        <c:v>2.3970995742606847</c:v>
                      </c:pt>
                      <c:pt idx="70">
                        <c:v>1.598066382840446</c:v>
                      </c:pt>
                      <c:pt idx="71">
                        <c:v>0.79903319142022455</c:v>
                      </c:pt>
                      <c:pt idx="72">
                        <c:v>-9.6488780250976305E-15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6901-4B0A-B560-71450B6F3BF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2.3691451532104148E-2</c:v>
                      </c:pt>
                      <c:pt idx="45">
                        <c:v>2.3524953479747607E-2</c:v>
                      </c:pt>
                      <c:pt idx="46">
                        <c:v>2.2597033464661267E-2</c:v>
                      </c:pt>
                      <c:pt idx="47">
                        <c:v>2.1983498076794825E-2</c:v>
                      </c:pt>
                      <c:pt idx="48">
                        <c:v>2.1059754734529351E-2</c:v>
                      </c:pt>
                      <c:pt idx="49">
                        <c:v>2.0476471523892814E-2</c:v>
                      </c:pt>
                      <c:pt idx="50">
                        <c:v>1.9782808447385985E-2</c:v>
                      </c:pt>
                      <c:pt idx="51">
                        <c:v>1.9148813961854041E-2</c:v>
                      </c:pt>
                      <c:pt idx="52">
                        <c:v>1.8652878308646856E-2</c:v>
                      </c:pt>
                      <c:pt idx="53" formatCode="0.0">
                        <c:v>1.8652878308646856E-2</c:v>
                      </c:pt>
                      <c:pt idx="54" formatCode="0.0">
                        <c:v>1.8652878308646856E-2</c:v>
                      </c:pt>
                      <c:pt idx="55" formatCode="0.0">
                        <c:v>1.8652878308646856E-2</c:v>
                      </c:pt>
                      <c:pt idx="56" formatCode="0.0">
                        <c:v>1.8652878308646856E-2</c:v>
                      </c:pt>
                      <c:pt idx="57" formatCode="0.0">
                        <c:v>1.8652878308646856E-2</c:v>
                      </c:pt>
                      <c:pt idx="58" formatCode="0.0">
                        <c:v>1.8652878308646856E-2</c:v>
                      </c:pt>
                      <c:pt idx="59" formatCode="0.0">
                        <c:v>1.8652878308646856E-2</c:v>
                      </c:pt>
                      <c:pt idx="60" formatCode="0.0">
                        <c:v>1.8652878308646856E-2</c:v>
                      </c:pt>
                      <c:pt idx="61" formatCode="0.0">
                        <c:v>1.8652878308646856E-2</c:v>
                      </c:pt>
                      <c:pt idx="62" formatCode="0.0">
                        <c:v>1.8652878308646856E-2</c:v>
                      </c:pt>
                      <c:pt idx="63" formatCode="0.0">
                        <c:v>1.8652878308646856E-2</c:v>
                      </c:pt>
                      <c:pt idx="64" formatCode="0.0">
                        <c:v>1.8652878308646856E-2</c:v>
                      </c:pt>
                      <c:pt idx="65" formatCode="0.0">
                        <c:v>1.8652878308646856E-2</c:v>
                      </c:pt>
                      <c:pt idx="66" formatCode="0.0">
                        <c:v>1.8652878308646856E-2</c:v>
                      </c:pt>
                      <c:pt idx="67" formatCode="0.0">
                        <c:v>1.8652878308646856E-2</c:v>
                      </c:pt>
                      <c:pt idx="68" formatCode="0.0">
                        <c:v>1.8652878308646856E-2</c:v>
                      </c:pt>
                      <c:pt idx="69" formatCode="0.0">
                        <c:v>1.8652878308646856E-2</c:v>
                      </c:pt>
                      <c:pt idx="70" formatCode="0.0">
                        <c:v>1.8652878308646856E-2</c:v>
                      </c:pt>
                      <c:pt idx="71" formatCode="0.0">
                        <c:v>1.8652878308646856E-2</c:v>
                      </c:pt>
                      <c:pt idx="72" formatCode="0.0">
                        <c:v>1.8652878308646856E-2</c:v>
                      </c:pt>
                      <c:pt idx="73" formatCode="0.0">
                        <c:v>1.8652878308646856E-2</c:v>
                      </c:pt>
                      <c:pt idx="74" formatCode="0.0">
                        <c:v>1.8652878308646856E-2</c:v>
                      </c:pt>
                      <c:pt idx="75" formatCode="0.0">
                        <c:v>1.8652878308646856E-2</c:v>
                      </c:pt>
                      <c:pt idx="76" formatCode="0.0">
                        <c:v>1.8652878308646856E-2</c:v>
                      </c:pt>
                      <c:pt idx="77" formatCode="0.0">
                        <c:v>1.8652878308646856E-2</c:v>
                      </c:pt>
                      <c:pt idx="78" formatCode="0.0">
                        <c:v>1.8652878308646856E-2</c:v>
                      </c:pt>
                      <c:pt idx="79" formatCode="0.0">
                        <c:v>1.8652878308646856E-2</c:v>
                      </c:pt>
                      <c:pt idx="80" formatCode="0.0">
                        <c:v>1.8652878308646856E-2</c:v>
                      </c:pt>
                      <c:pt idx="81" formatCode="0.0">
                        <c:v>1.8652878308646856E-2</c:v>
                      </c:pt>
                      <c:pt idx="82" formatCode="0.0">
                        <c:v>1.8652878308646856E-2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6901-4B0A-B560-71450B6F3BFA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Nitrous 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'Scenario 65-25%'!$E$7</c:f>
              <c:strCache>
                <c:ptCount val="1"/>
                <c:pt idx="0">
                  <c:v>N2O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40E15D9-3525-40CB-9CEA-634E2007301E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E61-4A53-90BE-98D20E23AA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61-4A53-90BE-98D20E23AA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61-4A53-90BE-98D20E23AA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61-4A53-90BE-98D20E23AA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61-4A53-90BE-98D20E23AA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61-4A53-90BE-98D20E23AA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61-4A53-90BE-98D20E23AA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61-4A53-90BE-98D20E23AA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61-4A53-90BE-98D20E23AA1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61-4A53-90BE-98D20E23AA1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61-4A53-90BE-98D20E23AA1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61-4A53-90BE-98D20E23AA1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ADE4EE7-7719-4851-8102-B50ED52DC5D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E61-4A53-90BE-98D20E23AA1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B738486-A460-4833-B696-1FB84E2CD8F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61-4A53-90BE-98D20E23AA1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EF268D4-F38D-4CFE-BE1C-AE9A47D8B5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61-4A53-90BE-98D20E23AA1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3A9FF38-A718-4068-BEC9-E2B17760FF9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61-4A53-90BE-98D20E23AA1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810256E-4AB9-48E3-ACAC-2800F1B842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61-4A53-90BE-98D20E23AA1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F7278B1-ECEA-49EA-A9E0-905592CA10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61-4A53-90BE-98D20E23AA1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17C48B2-15F9-451A-B26F-9672F9CCFDB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61-4A53-90BE-98D20E23AA1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86A1774-D0EC-413A-B5A7-19FB84D41D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61-4A53-90BE-98D20E23AA1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0253E5D-7EBC-4A00-A735-D7C2CFDA3F0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61-4A53-90BE-98D20E23AA1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D6F68F2-414D-4481-B706-B80756F797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61-4A53-90BE-98D20E23AA1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A013CAE-E14D-4D73-9A8E-58F53539FF6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E61-4A53-90BE-98D20E23AA1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D897BAE-1B39-43AC-BCF5-8D60A1CC6D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61-4A53-90BE-98D20E23AA1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07E81ED-693A-4DEF-8566-BA205968A3E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61-4A53-90BE-98D20E23AA1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F257767-3F5D-4A1F-942C-BFB3DC92D6D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61-4A53-90BE-98D20E23AA1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1303E43-5863-4BD7-A620-7A7A61CCA0C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61-4A53-90BE-98D20E23AA1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A18D400-8D96-4139-AFA1-F921BA6AB06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61-4A53-90BE-98D20E23AA1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EAD5CEE-379C-48D1-8107-4EDB41774A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61-4A53-90BE-98D20E23AA1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0403431-23BF-4D7B-BF3F-0F51B963A19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61-4A53-90BE-98D20E23AA1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46E86C11-C3B9-43EE-A972-CDEC887F325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61-4A53-90BE-98D20E23AA1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69C05156-3B8A-4A14-ABD9-1051FDA4DC8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61-4A53-90BE-98D20E23AA1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A09BF216-0BC1-4B85-928D-1734ACA1C2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61-4A53-90BE-98D20E23AA1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C09408C-5F17-4669-AB99-E4D6291024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61-4A53-90BE-98D20E23AA1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6B3B765-006F-4FC4-98BF-5CACC82AA93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61-4A53-90BE-98D20E23AA1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765567D-248A-42C5-B79A-4DB0DE3CD2C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61-4A53-90BE-98D20E23AA1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180034D4-2FF7-40A4-A37D-C7DBFE57C7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61-4A53-90BE-98D20E23AA1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481BE3F-D4F2-45DD-85F6-D481DFD68D9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61-4A53-90BE-98D20E23AA1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C6C5D82-AD89-4E30-9BA7-4C052B0304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61-4A53-90BE-98D20E23AA1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E171B6E0-E123-4EDA-9B6A-E237A4040C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61-4A53-90BE-98D20E23AA1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5F29CC2-3C01-4FD4-9469-A6DBCB90CB9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61-4A53-90BE-98D20E23AA1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E08C38C-89F3-468B-8675-9C38812F7FA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61-4A53-90BE-98D20E23AA1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CF5D3B55-65B3-4298-BF64-1909133CD2D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61-4A53-90BE-98D20E23AA1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B34CF5F5-4B12-42C9-BEE4-FF6C132A23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E61-4A53-90BE-98D20E23AA1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EC83597-85CA-4A07-A339-540FA989DAB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E61-4A53-90BE-98D20E23AA1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7A4FBE5-DB74-4E82-BE13-E6A045ED27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E61-4A53-90BE-98D20E23AA1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1261D100-0EE9-4FA6-9A4F-01812028EF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E61-4A53-90BE-98D20E23AA1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C136B6A-E198-47A9-A22B-3F01C5A9BDE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EE61-4A53-90BE-98D20E23AA1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7668EA54-E771-40E1-8138-3BD8789366F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EE61-4A53-90BE-98D20E23AA1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D7C1F70-7464-45C0-9586-F487D77FE5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EE61-4A53-90BE-98D20E23AA1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CF9F9EB2-D1A8-4F45-98BC-5F5BEDB821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EE61-4A53-90BE-98D20E23AA1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ADCD530-17E9-40F0-A84F-6B3049DB7A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EE61-4A53-90BE-98D20E23AA1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C078C1AB-7610-4110-88BC-487CBCD9FFD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EE61-4A53-90BE-98D20E23AA1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FCB52C86-6882-42DE-8794-997E8729C93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EE61-4A53-90BE-98D20E23AA1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DC0A5E3D-C932-4F2A-B2C8-9650238EF7B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EE61-4A53-90BE-98D20E23AA13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2B9D49C2-6DAB-4EF8-BFFA-219FAEE984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EE61-4A53-90BE-98D20E23AA13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DDF52424-8F2D-4DFE-9C64-9A32C927CB7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EE61-4A53-90BE-98D20E23AA13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9A260ACC-A789-479A-BBB2-07A97016798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EE61-4A53-90BE-98D20E23AA13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A2599E25-4623-464C-82BC-4F62BDF61C5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EE61-4A53-90BE-98D20E23AA13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14DD51E9-A79C-4646-BCE7-8C5D8EB5717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EE61-4A53-90BE-98D20E23AA13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3340D8CE-7571-4315-8CBA-BDAA095A4B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EE61-4A53-90BE-98D20E23AA13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30EE2E15-5250-4209-B823-D74DD883B2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EE61-4A53-90BE-98D20E23AA13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C1204D8B-0290-445C-B17A-CF7350B6561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EE61-4A53-90BE-98D20E23AA13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4D5AB03B-27F9-4980-AF19-4AC4B921860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EE61-4A53-90BE-98D20E23AA13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99AA636-D51E-48EC-81E1-D01B56B509D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EE61-4A53-90BE-98D20E23AA13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79B62EC4-F202-46C1-8264-14B082241E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EE61-4A53-90BE-98D20E23AA13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EE145559-8505-4FE2-9AC6-0A5165E0CA8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EE61-4A53-90BE-98D20E23AA13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83B91188-339B-456A-B4BA-C94344B475D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EE61-4A53-90BE-98D20E23AA13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9B92CDA3-9E25-4D8F-9D1C-19E19F11FA7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EE61-4A53-90BE-98D20E23AA13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F0D0CB2E-3778-4A1F-89B7-D9CD8E15A23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EE61-4A53-90BE-98D20E23AA13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0223809E-0F5B-475E-9134-75271A77E21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EE61-4A53-90BE-98D20E23AA13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20ED10C2-ADF2-4914-9520-DD36D98AD4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EE61-4A53-90BE-98D20E23AA13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EC5284C5-AE3F-4BC1-B4EE-2E5C94FB088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EE61-4A53-90BE-98D20E23AA13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E152B275-040F-44CD-B8E5-F1A263FAF33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EE61-4A53-90BE-98D20E23AA13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8C771F00-2DBD-43FB-A9D5-F20BD535BA7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EE61-4A53-90BE-98D20E23AA13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6691D4D9-985C-40DF-A207-22F9C880F1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EE61-4A53-90BE-98D20E23AA13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7A7C6738-D98D-4257-AFE9-F451346CAEF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EE61-4A53-90BE-98D20E23AA13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58711E31-4BEF-4521-8CFF-2C1070763A6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EE61-4A53-90BE-98D20E23AA13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EB6925A0-2AB7-41BB-A83D-8781849E6D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EE61-4A53-90BE-98D20E23AA13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049EA49B-1DE8-4BDB-ABC3-BCA94923329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EE61-4A53-90BE-98D20E23AA13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90F96B77-5348-4C04-BEC0-82526C8D517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EE61-4A53-90BE-98D20E23AA13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3A503B99-C66A-4E2E-9363-4EAE9D05ED0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EE61-4A53-90BE-98D20E23AA13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69A20DE2-39F4-4F91-A8BD-ED45A76179B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EE61-4A53-90BE-98D20E23AA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65-25%'!$B$8:$B$90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65-25%'!$E$8:$E$90</c:f>
              <c:numCache>
                <c:formatCode>0.00</c:formatCode>
                <c:ptCount val="83"/>
                <c:pt idx="12">
                  <c:v>2.6227661646226468E-2</c:v>
                </c:pt>
                <c:pt idx="13">
                  <c:v>2.554114757699584E-2</c:v>
                </c:pt>
                <c:pt idx="14">
                  <c:v>2.5204417941327273E-2</c:v>
                </c:pt>
                <c:pt idx="15">
                  <c:v>2.5697521605793531E-2</c:v>
                </c:pt>
                <c:pt idx="16">
                  <c:v>2.6660195601452181E-2</c:v>
                </c:pt>
                <c:pt idx="17">
                  <c:v>2.7848538989904151E-2</c:v>
                </c:pt>
                <c:pt idx="18">
                  <c:v>2.8242940550096497E-2</c:v>
                </c:pt>
                <c:pt idx="19">
                  <c:v>2.7991006485181408E-2</c:v>
                </c:pt>
                <c:pt idx="20">
                  <c:v>2.9429943506676829E-2</c:v>
                </c:pt>
                <c:pt idx="21">
                  <c:v>2.8645206014373741E-2</c:v>
                </c:pt>
                <c:pt idx="22">
                  <c:v>2.7713149439546961E-2</c:v>
                </c:pt>
                <c:pt idx="23">
                  <c:v>2.6361520111669961E-2</c:v>
                </c:pt>
                <c:pt idx="24">
                  <c:v>2.5205268301960501E-2</c:v>
                </c:pt>
                <c:pt idx="25">
                  <c:v>2.5051707160096713E-2</c:v>
                </c:pt>
                <c:pt idx="26">
                  <c:v>2.4462801837163501E-2</c:v>
                </c:pt>
                <c:pt idx="27">
                  <c:v>2.4090144176706841E-2</c:v>
                </c:pt>
                <c:pt idx="28">
                  <c:v>2.3416369558615369E-2</c:v>
                </c:pt>
                <c:pt idx="29">
                  <c:v>2.2587866931128592E-2</c:v>
                </c:pt>
                <c:pt idx="30">
                  <c:v>2.252824456889773E-2</c:v>
                </c:pt>
                <c:pt idx="31">
                  <c:v>2.1984221435495593E-2</c:v>
                </c:pt>
                <c:pt idx="32">
                  <c:v>2.3205006831574712E-2</c:v>
                </c:pt>
                <c:pt idx="33">
                  <c:v>2.1596923732384501E-2</c:v>
                </c:pt>
                <c:pt idx="34">
                  <c:v>2.2350835962576289E-2</c:v>
                </c:pt>
                <c:pt idx="35">
                  <c:v>2.3861676615019551E-2</c:v>
                </c:pt>
                <c:pt idx="36">
                  <c:v>2.3087068532383508E-2</c:v>
                </c:pt>
                <c:pt idx="37">
                  <c:v>2.3139800195035771E-2</c:v>
                </c:pt>
                <c:pt idx="38">
                  <c:v>2.3402918953505311E-2</c:v>
                </c:pt>
                <c:pt idx="39">
                  <c:v>2.4736923302581051E-2</c:v>
                </c:pt>
                <c:pt idx="40">
                  <c:v>2.5646912762990196E-2</c:v>
                </c:pt>
                <c:pt idx="41">
                  <c:v>2.4309378074883786E-2</c:v>
                </c:pt>
                <c:pt idx="42">
                  <c:v>2.4191018892461238E-2</c:v>
                </c:pt>
                <c:pt idx="43">
                  <c:v>2.4288542705006529E-2</c:v>
                </c:pt>
                <c:pt idx="44">
                  <c:v>2.3691451532104148E-2</c:v>
                </c:pt>
                <c:pt idx="45">
                  <c:v>2.3524953479747607E-2</c:v>
                </c:pt>
                <c:pt idx="46">
                  <c:v>2.2597033464661267E-2</c:v>
                </c:pt>
                <c:pt idx="47">
                  <c:v>2.1983498076794825E-2</c:v>
                </c:pt>
                <c:pt idx="48">
                  <c:v>2.1059754734529351E-2</c:v>
                </c:pt>
                <c:pt idx="49">
                  <c:v>2.0476471523892814E-2</c:v>
                </c:pt>
                <c:pt idx="50">
                  <c:v>1.9782808447385985E-2</c:v>
                </c:pt>
                <c:pt idx="51">
                  <c:v>1.9148813961854041E-2</c:v>
                </c:pt>
                <c:pt idx="52">
                  <c:v>1.8652878308646856E-2</c:v>
                </c:pt>
                <c:pt idx="53" formatCode="0.0">
                  <c:v>1.8652878308646856E-2</c:v>
                </c:pt>
                <c:pt idx="54" formatCode="0.0">
                  <c:v>1.8652878308646856E-2</c:v>
                </c:pt>
                <c:pt idx="55" formatCode="0.0">
                  <c:v>1.8652878308646856E-2</c:v>
                </c:pt>
                <c:pt idx="56" formatCode="0.0">
                  <c:v>1.8652878308646856E-2</c:v>
                </c:pt>
                <c:pt idx="57" formatCode="0.0">
                  <c:v>1.8652878308646856E-2</c:v>
                </c:pt>
                <c:pt idx="58" formatCode="0.0">
                  <c:v>1.8652878308646856E-2</c:v>
                </c:pt>
                <c:pt idx="59" formatCode="0.0">
                  <c:v>1.8652878308646856E-2</c:v>
                </c:pt>
                <c:pt idx="60" formatCode="0.0">
                  <c:v>1.8652878308646856E-2</c:v>
                </c:pt>
                <c:pt idx="61" formatCode="0.0">
                  <c:v>1.8652878308646856E-2</c:v>
                </c:pt>
                <c:pt idx="62" formatCode="0.0">
                  <c:v>1.8652878308646856E-2</c:v>
                </c:pt>
                <c:pt idx="63" formatCode="0.0">
                  <c:v>1.8652878308646856E-2</c:v>
                </c:pt>
                <c:pt idx="64" formatCode="0.0">
                  <c:v>1.8652878308646856E-2</c:v>
                </c:pt>
                <c:pt idx="65" formatCode="0.0">
                  <c:v>1.8652878308646856E-2</c:v>
                </c:pt>
                <c:pt idx="66" formatCode="0.0">
                  <c:v>1.8652878308646856E-2</c:v>
                </c:pt>
                <c:pt idx="67" formatCode="0.0">
                  <c:v>1.8652878308646856E-2</c:v>
                </c:pt>
                <c:pt idx="68" formatCode="0.0">
                  <c:v>1.8652878308646856E-2</c:v>
                </c:pt>
                <c:pt idx="69" formatCode="0.0">
                  <c:v>1.8652878308646856E-2</c:v>
                </c:pt>
                <c:pt idx="70" formatCode="0.0">
                  <c:v>1.8652878308646856E-2</c:v>
                </c:pt>
                <c:pt idx="71" formatCode="0.0">
                  <c:v>1.8652878308646856E-2</c:v>
                </c:pt>
                <c:pt idx="72" formatCode="0.0">
                  <c:v>1.8652878308646856E-2</c:v>
                </c:pt>
                <c:pt idx="73" formatCode="0.0">
                  <c:v>1.8652878308646856E-2</c:v>
                </c:pt>
                <c:pt idx="74" formatCode="0.0">
                  <c:v>1.8652878308646856E-2</c:v>
                </c:pt>
                <c:pt idx="75" formatCode="0.0">
                  <c:v>1.8652878308646856E-2</c:v>
                </c:pt>
                <c:pt idx="76" formatCode="0.0">
                  <c:v>1.8652878308646856E-2</c:v>
                </c:pt>
                <c:pt idx="77" formatCode="0.0">
                  <c:v>1.8652878308646856E-2</c:v>
                </c:pt>
                <c:pt idx="78" formatCode="0.0">
                  <c:v>1.8652878308646856E-2</c:v>
                </c:pt>
                <c:pt idx="79" formatCode="0.0">
                  <c:v>1.8652878308646856E-2</c:v>
                </c:pt>
                <c:pt idx="80" formatCode="0.0">
                  <c:v>1.8652878308646856E-2</c:v>
                </c:pt>
                <c:pt idx="81" formatCode="0.0">
                  <c:v>1.8652878308646856E-2</c:v>
                </c:pt>
                <c:pt idx="82" formatCode="0.0">
                  <c:v>1.8652878308646856E-2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65-25%'!$R$8:$R$130</c15:f>
                <c15:dlblRangeCache>
                  <c:ptCount val="123"/>
                  <c:pt idx="42">
                    <c:v>6%</c:v>
                  </c:pt>
                  <c:pt idx="47">
                    <c:v>14%</c:v>
                  </c:pt>
                  <c:pt idx="52">
                    <c:v>27%</c:v>
                  </c:pt>
                  <c:pt idx="62">
                    <c:v>27%</c:v>
                  </c:pt>
                  <c:pt idx="72">
                    <c:v>27%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EE61-4A53-90BE-98D20E23A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65-25%'!$C$7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65-25%'!$B$8:$B$90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65-25%'!$C$8:$C$90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 formatCode="0.00">
                        <c:v>42.847003375390081</c:v>
                      </c:pt>
                      <c:pt idx="42" formatCode="0.00">
                        <c:v>37.397075829274357</c:v>
                      </c:pt>
                      <c:pt idx="43" formatCode="0.00">
                        <c:v>39.435832369375916</c:v>
                      </c:pt>
                      <c:pt idx="44" formatCode="0.00">
                        <c:v>39.776119634842686</c:v>
                      </c:pt>
                      <c:pt idx="45" formatCode="0.00">
                        <c:v>40.445772709846956</c:v>
                      </c:pt>
                      <c:pt idx="46" formatCode="0.00">
                        <c:v>34.929556881996604</c:v>
                      </c:pt>
                      <c:pt idx="47" formatCode="0.00">
                        <c:v>30.904049544049634</c:v>
                      </c:pt>
                      <c:pt idx="48" formatCode="0.00">
                        <c:v>26.410855673255206</c:v>
                      </c:pt>
                      <c:pt idx="49" formatCode="0.00">
                        <c:v>23.360660795095029</c:v>
                      </c:pt>
                      <c:pt idx="50" formatCode="0.00">
                        <c:v>20.337891552572088</c:v>
                      </c:pt>
                      <c:pt idx="51" formatCode="0.00">
                        <c:v>17.811873104552195</c:v>
                      </c:pt>
                      <c:pt idx="52" formatCode="0.00">
                        <c:v>15.980663828404511</c:v>
                      </c:pt>
                      <c:pt idx="53">
                        <c:v>15.181630636984289</c:v>
                      </c:pt>
                      <c:pt idx="54">
                        <c:v>14.382597445564068</c:v>
                      </c:pt>
                      <c:pt idx="55">
                        <c:v>13.583564254143836</c:v>
                      </c:pt>
                      <c:pt idx="56">
                        <c:v>12.784531062723604</c:v>
                      </c:pt>
                      <c:pt idx="57">
                        <c:v>11.985497871303387</c:v>
                      </c:pt>
                      <c:pt idx="58">
                        <c:v>11.186464679883153</c:v>
                      </c:pt>
                      <c:pt idx="59">
                        <c:v>10.387431488462932</c:v>
                      </c:pt>
                      <c:pt idx="60">
                        <c:v>9.5883982970427066</c:v>
                      </c:pt>
                      <c:pt idx="61">
                        <c:v>8.7893651056224851</c:v>
                      </c:pt>
                      <c:pt idx="62">
                        <c:v>7.990331914202244</c:v>
                      </c:pt>
                      <c:pt idx="63">
                        <c:v>7.1912987227820286</c:v>
                      </c:pt>
                      <c:pt idx="64">
                        <c:v>6.3922655313618026</c:v>
                      </c:pt>
                      <c:pt idx="65">
                        <c:v>5.593232339941574</c:v>
                      </c:pt>
                      <c:pt idx="66">
                        <c:v>4.7941991485213613</c:v>
                      </c:pt>
                      <c:pt idx="67">
                        <c:v>3.9951659571011287</c:v>
                      </c:pt>
                      <c:pt idx="68">
                        <c:v>3.1961327656808964</c:v>
                      </c:pt>
                      <c:pt idx="69">
                        <c:v>2.3970995742606847</c:v>
                      </c:pt>
                      <c:pt idx="70">
                        <c:v>1.598066382840446</c:v>
                      </c:pt>
                      <c:pt idx="71">
                        <c:v>0.79903319142022455</c:v>
                      </c:pt>
                      <c:pt idx="72">
                        <c:v>-9.6488780250976305E-15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EE61-4A53-90BE-98D20E23AA13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65-25%'!$D$8:$D$90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0.59071904207222603</c:v>
                      </c:pt>
                      <c:pt idx="45">
                        <c:v>0.58041041384349545</c:v>
                      </c:pt>
                      <c:pt idx="46">
                        <c:v>0.55956868358715939</c:v>
                      </c:pt>
                      <c:pt idx="47">
                        <c:v>0.54307598122403755</c:v>
                      </c:pt>
                      <c:pt idx="48">
                        <c:v>0.52229202881377301</c:v>
                      </c:pt>
                      <c:pt idx="49">
                        <c:v>0.50621781880432237</c:v>
                      </c:pt>
                      <c:pt idx="50">
                        <c:v>0.48861667307996687</c:v>
                      </c:pt>
                      <c:pt idx="51">
                        <c:v>0.47184095056028047</c:v>
                      </c:pt>
                      <c:pt idx="52">
                        <c:v>0.45697505969487856</c:v>
                      </c:pt>
                      <c:pt idx="53">
                        <c:v>0.45697505969487856</c:v>
                      </c:pt>
                      <c:pt idx="54">
                        <c:v>0.45697505969487856</c:v>
                      </c:pt>
                      <c:pt idx="55">
                        <c:v>0.45697505969487856</c:v>
                      </c:pt>
                      <c:pt idx="56">
                        <c:v>0.45697505969487856</c:v>
                      </c:pt>
                      <c:pt idx="57">
                        <c:v>0.45697505969487856</c:v>
                      </c:pt>
                      <c:pt idx="58">
                        <c:v>0.45697505969487856</c:v>
                      </c:pt>
                      <c:pt idx="59">
                        <c:v>0.45697505969487856</c:v>
                      </c:pt>
                      <c:pt idx="60">
                        <c:v>0.45697505969487856</c:v>
                      </c:pt>
                      <c:pt idx="61">
                        <c:v>0.45697505969487856</c:v>
                      </c:pt>
                      <c:pt idx="62">
                        <c:v>0.45697505969487856</c:v>
                      </c:pt>
                      <c:pt idx="63">
                        <c:v>0.45697505969487856</c:v>
                      </c:pt>
                      <c:pt idx="64">
                        <c:v>0.45697505969487856</c:v>
                      </c:pt>
                      <c:pt idx="65">
                        <c:v>0.45697505969487856</c:v>
                      </c:pt>
                      <c:pt idx="66">
                        <c:v>0.45697505969487856</c:v>
                      </c:pt>
                      <c:pt idx="67">
                        <c:v>0.45697505969487856</c:v>
                      </c:pt>
                      <c:pt idx="68">
                        <c:v>0.45697505969487856</c:v>
                      </c:pt>
                      <c:pt idx="69">
                        <c:v>0.45697505969487856</c:v>
                      </c:pt>
                      <c:pt idx="70">
                        <c:v>0.45697505969487856</c:v>
                      </c:pt>
                      <c:pt idx="71">
                        <c:v>0.45697505969487856</c:v>
                      </c:pt>
                      <c:pt idx="72">
                        <c:v>0.45697505969487856</c:v>
                      </c:pt>
                      <c:pt idx="73">
                        <c:v>0.45697505969487856</c:v>
                      </c:pt>
                      <c:pt idx="74">
                        <c:v>0.45697505969487856</c:v>
                      </c:pt>
                      <c:pt idx="75">
                        <c:v>0.45697505969487856</c:v>
                      </c:pt>
                      <c:pt idx="76">
                        <c:v>0.45697505969487856</c:v>
                      </c:pt>
                      <c:pt idx="77">
                        <c:v>0.45697505969487856</c:v>
                      </c:pt>
                      <c:pt idx="78">
                        <c:v>0.45697505969487856</c:v>
                      </c:pt>
                      <c:pt idx="79">
                        <c:v>0.45697505969487856</c:v>
                      </c:pt>
                      <c:pt idx="80">
                        <c:v>0.45697505969487856</c:v>
                      </c:pt>
                      <c:pt idx="81">
                        <c:v>0.45697505969487856</c:v>
                      </c:pt>
                      <c:pt idx="82">
                        <c:v>0.45697505969487856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EE61-4A53-90BE-98D20E23AA13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Carbon Dioxide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'Scenario 69-19%'!$C$7</c:f>
              <c:strCache>
                <c:ptCount val="1"/>
                <c:pt idx="0">
                  <c:v>CO2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0-46A8-BBC2-97ACCB2EF37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0-46A8-BBC2-97ACCB2EF37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0-46A8-BBC2-97ACCB2EF37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0-46A8-BBC2-97ACCB2EF37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20-46A8-BBC2-97ACCB2EF37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20-46A8-BBC2-97ACCB2EF37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20-46A8-BBC2-97ACCB2EF37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20-46A8-BBC2-97ACCB2EF37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20-46A8-BBC2-97ACCB2EF37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20-46A8-BBC2-97ACCB2EF37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20-46A8-BBC2-97ACCB2EF37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0-46A8-BBC2-97ACCB2EF37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8FB5C-11C8-42C2-B385-C5F3AE902C1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D20-46A8-BBC2-97ACCB2EF37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5141CCE-8604-4245-A58E-521D584DF11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D20-46A8-BBC2-97ACCB2EF37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86D8EE7-B760-440B-9F6E-CB39212D5C6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D20-46A8-BBC2-97ACCB2EF37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1725634-21FA-4BAA-8672-95AE15A7D90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D20-46A8-BBC2-97ACCB2EF37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EFAAFA1-39E0-4388-A8FA-0EFFEE7EDBB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D20-46A8-BBC2-97ACCB2EF37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8B4C9E6-633B-4ECD-9E06-72D46C09472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D20-46A8-BBC2-97ACCB2EF37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463D42B-95D4-4FFE-924C-24B60DE4D65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D20-46A8-BBC2-97ACCB2EF37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BEF763B-57FA-49E2-AFF2-3BF8184A97C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D20-46A8-BBC2-97ACCB2EF37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4B97EC7-0D32-4740-8469-9F7708C60B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D20-46A8-BBC2-97ACCB2EF37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EC810E9-B1C0-4F77-942E-F327D5124AF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D20-46A8-BBC2-97ACCB2EF37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EC9C48DA-D208-4E2A-97AC-DB3DD0A3CD3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D20-46A8-BBC2-97ACCB2EF37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4A3B180-0EF2-4859-894D-292EBFD1F0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D20-46A8-BBC2-97ACCB2EF37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FBAE208-514A-4FF0-83D1-6A8B5F10E86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D20-46A8-BBC2-97ACCB2EF37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52BEFD8-C97A-432F-8C2C-C1F8197236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D20-46A8-BBC2-97ACCB2EF37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BA76C7B-6B52-4536-9363-42FD97DD31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D20-46A8-BBC2-97ACCB2EF37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5DC8150-AF61-4987-B39F-FF3C18A4B5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D20-46A8-BBC2-97ACCB2EF37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B0EE01F-229C-4824-89A7-2465BFBBA70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D20-46A8-BBC2-97ACCB2EF37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18A3792-F1BA-4AF2-945C-96151C802A2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D20-46A8-BBC2-97ACCB2EF37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607DFD1-D234-40A7-A587-B5935DF6CC5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D20-46A8-BBC2-97ACCB2EF37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E21E9F05-BDAD-4452-B276-3C66F375E0E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D20-46A8-BBC2-97ACCB2EF37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C1FDD79-AEB7-4B7C-8D50-1222499BAC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D20-46A8-BBC2-97ACCB2EF37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428371F-06F5-4658-8E5B-F1DEB15110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D20-46A8-BBC2-97ACCB2EF37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2CA5B0A4-8988-4988-AC0D-7AF41EA81EB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D20-46A8-BBC2-97ACCB2EF37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05E6759D-9B27-4D19-AFF8-82310AA3B2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D20-46A8-BBC2-97ACCB2EF37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AD100BC0-6BE2-4962-9C2F-1C0575011B4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D20-46A8-BBC2-97ACCB2EF37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389860E8-EE38-4DE7-ABD8-EB7747A065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D20-46A8-BBC2-97ACCB2EF37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A8691285-363E-4EE4-B197-C30A6970942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D20-46A8-BBC2-97ACCB2EF37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C5FD117-CE2E-4AC2-970D-6710D3791E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D20-46A8-BBC2-97ACCB2EF37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E06D0FD9-77FA-4B43-A487-783F3B7DA5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D20-46A8-BBC2-97ACCB2EF37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BF04561-CAED-488E-94A3-3F6B172B4BC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D20-46A8-BBC2-97ACCB2EF37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47AF3DD-08AD-4A96-B72F-0E59CED378B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D20-46A8-BBC2-97ACCB2EF37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4E5245D-5218-488B-847B-BAB0B2BA61C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D20-46A8-BBC2-97ACCB2EF37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0693535-4C59-46D7-8FB9-B1316B4C8F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D20-46A8-BBC2-97ACCB2EF37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C4D3AAC-6B33-4EA0-8277-655B32CFF49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FD20-46A8-BBC2-97ACCB2EF37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5C665AA6-4BA3-4657-9258-BB432C88FD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FD20-46A8-BBC2-97ACCB2EF37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F3559BF-DE11-42A8-B02A-4FA411CC65D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FD20-46A8-BBC2-97ACCB2EF37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C3FFC02F-B05F-4A94-B225-D085EF28AB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FD20-46A8-BBC2-97ACCB2EF37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4238894-D181-4079-83D2-83CC399789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FD20-46A8-BBC2-97ACCB2EF37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C0F50650-8D6D-4BD2-99E0-215B016535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FD20-46A8-BBC2-97ACCB2EF37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80B650D-B73F-492A-A02B-FB2F5CC940B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FD20-46A8-BBC2-97ACCB2EF37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E93F12F2-CD09-4761-A9D0-AE65F92B0F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FD20-46A8-BBC2-97ACCB2EF37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C0CE4855-0DC2-47E2-ACD1-2174F0793C5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FD20-46A8-BBC2-97ACCB2EF37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A67D0450-8605-46AB-B86B-CB80F9D5D67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FD20-46A8-BBC2-97ACCB2EF37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086F2BB5-BF3A-47A1-A1C4-2DEBE635E1D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FD20-46A8-BBC2-97ACCB2EF37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561490CC-1830-4D51-BDA2-461C58857CC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FD20-46A8-BBC2-97ACCB2EF37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DE7C8958-1F0F-43BB-BAE7-E6F84BDA34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FD20-46A8-BBC2-97ACCB2EF37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04143A15-4D1C-497F-A22A-075BC3CFFB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FD20-46A8-BBC2-97ACCB2EF37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59D4084F-5B26-43CE-A7A9-55114118A4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FD20-46A8-BBC2-97ACCB2EF37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67A2B40B-8CD6-4108-B486-4AB1E5A4AC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FD20-46A8-BBC2-97ACCB2EF37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9565E2E9-5B55-4C7B-8711-3CAA8139DD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FD20-46A8-BBC2-97ACCB2EF37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801E210E-C12A-4518-8A14-B948CEDF221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FD20-46A8-BBC2-97ACCB2EF37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0559C7A3-D8F5-499E-8D5A-976FE936994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FD20-46A8-BBC2-97ACCB2EF37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EFC3C5C2-981E-4C3D-97EB-6CD606EC84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FD20-46A8-BBC2-97ACCB2EF37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AC0ADCAA-0638-4093-889C-07BAD0FD397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FD20-46A8-BBC2-97ACCB2EF37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3D8ED210-674B-4D6B-847F-42C6D0F02EC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FD20-46A8-BBC2-97ACCB2EF37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78D87096-7596-438E-96E2-F52ADD7C980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FD20-46A8-BBC2-97ACCB2EF37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E7A1B5F3-5821-4A91-9AC1-B87D3DB014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FD20-46A8-BBC2-97ACCB2EF37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67877C28-6606-480A-A018-CE9B2BB77F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FD20-46A8-BBC2-97ACCB2EF37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7D6BF47-1F32-4116-A819-F0495D81C5D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FD20-46A8-BBC2-97ACCB2EF37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62643DB1-6A77-4CC6-ABB1-B106D400CC0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FD20-46A8-BBC2-97ACCB2EF37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74270822-4E9B-4121-80D1-8F567343F78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FD20-46A8-BBC2-97ACCB2EF37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B3E65DD-3B0C-4DB1-934E-C114501944C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FD20-46A8-BBC2-97ACCB2EF37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CD65DC41-C072-46CC-89DB-FACC9B46EC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FD20-46A8-BBC2-97ACCB2EF37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3F4A1A98-E720-4309-8DE7-862DF5D890F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FD20-46A8-BBC2-97ACCB2EF37F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8A3C573F-48D5-40D3-8463-A98C066ABF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FD20-46A8-BBC2-97ACCB2EF37F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35D77367-C2DC-42A3-869B-EBE3ABE246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FD20-46A8-BBC2-97ACCB2EF37F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F4D0CEE9-9AB0-47C9-96C2-730DD56D6B1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FD20-46A8-BBC2-97ACCB2EF37F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DE269087-8191-4236-87DD-9093F0FC00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FD20-46A8-BBC2-97ACCB2EF37F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6340725E-C095-4483-9B7A-B6356F0D3CA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FD20-46A8-BBC2-97ACCB2EF37F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ABBE06FC-02D1-4103-9DC5-9107615C625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FD20-46A8-BBC2-97ACCB2EF37F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21A7BAC7-F1D4-4D3B-9E29-A5D01575E03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FD20-46A8-BBC2-97ACCB2EF3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'Scenario 69-19%'!$B$8:$B$90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69-19%'!$C$8:$C$90</c:f>
              <c:numCache>
                <c:formatCode>0.0</c:formatCode>
                <c:ptCount val="83"/>
                <c:pt idx="12">
                  <c:v>37.503901917692637</c:v>
                </c:pt>
                <c:pt idx="13">
                  <c:v>38.099012193795097</c:v>
                </c:pt>
                <c:pt idx="14">
                  <c:v>37.716183401651868</c:v>
                </c:pt>
                <c:pt idx="15">
                  <c:v>37.813894147276059</c:v>
                </c:pt>
                <c:pt idx="16">
                  <c:v>39.097461645272396</c:v>
                </c:pt>
                <c:pt idx="17">
                  <c:v>41.117756580617204</c:v>
                </c:pt>
                <c:pt idx="18">
                  <c:v>42.401848154429679</c:v>
                </c:pt>
                <c:pt idx="19">
                  <c:v>43.245116683187582</c:v>
                </c:pt>
                <c:pt idx="20">
                  <c:v>44.87012369632712</c:v>
                </c:pt>
                <c:pt idx="21">
                  <c:v>46.906820617827236</c:v>
                </c:pt>
                <c:pt idx="22">
                  <c:v>51.264446064409647</c:v>
                </c:pt>
                <c:pt idx="23">
                  <c:v>54.663990010623849</c:v>
                </c:pt>
                <c:pt idx="24">
                  <c:v>53.050683185293025</c:v>
                </c:pt>
                <c:pt idx="25">
                  <c:v>52.911204011821269</c:v>
                </c:pt>
                <c:pt idx="26">
                  <c:v>51.897755100973896</c:v>
                </c:pt>
                <c:pt idx="27">
                  <c:v>54.59560870610084</c:v>
                </c:pt>
                <c:pt idx="28">
                  <c:v>54.461539202046147</c:v>
                </c:pt>
                <c:pt idx="29">
                  <c:v>53.746045769965306</c:v>
                </c:pt>
                <c:pt idx="30">
                  <c:v>52.68158170157681</c:v>
                </c:pt>
                <c:pt idx="31">
                  <c:v>47.163320009204178</c:v>
                </c:pt>
                <c:pt idx="32">
                  <c:v>48.004538579802293</c:v>
                </c:pt>
                <c:pt idx="33">
                  <c:v>43.82620233701207</c:v>
                </c:pt>
                <c:pt idx="34">
                  <c:v>43.046736237018365</c:v>
                </c:pt>
                <c:pt idx="35">
                  <c:v>42.143034779693046</c:v>
                </c:pt>
                <c:pt idx="36">
                  <c:v>43.002058721298987</c:v>
                </c:pt>
                <c:pt idx="37">
                  <c:v>44.636500221951238</c:v>
                </c:pt>
                <c:pt idx="38">
                  <c:v>45.653374656401347</c:v>
                </c:pt>
                <c:pt idx="39">
                  <c:v>45.728105317317954</c:v>
                </c:pt>
                <c:pt idx="40">
                  <c:v>44.05311996590261</c:v>
                </c:pt>
                <c:pt idx="41">
                  <c:v>41.81151164486662</c:v>
                </c:pt>
                <c:pt idx="42">
                  <c:v>41.81151164486662</c:v>
                </c:pt>
                <c:pt idx="43">
                  <c:v>41.81151164486662</c:v>
                </c:pt>
                <c:pt idx="44">
                  <c:v>38.683173372040308</c:v>
                </c:pt>
                <c:pt idx="45">
                  <c:v>35.554835099213996</c:v>
                </c:pt>
                <c:pt idx="46">
                  <c:v>32.426496826387684</c:v>
                </c:pt>
                <c:pt idx="47">
                  <c:v>29.298158553561372</c:v>
                </c:pt>
                <c:pt idx="48">
                  <c:v>26.16982028073506</c:v>
                </c:pt>
                <c:pt idx="49">
                  <c:v>23.041482007908748</c:v>
                </c:pt>
                <c:pt idx="50">
                  <c:v>19.913143735082436</c:v>
                </c:pt>
                <c:pt idx="51">
                  <c:v>16.784805462256124</c:v>
                </c:pt>
                <c:pt idx="52">
                  <c:v>13.656467189429812</c:v>
                </c:pt>
                <c:pt idx="53">
                  <c:v>12.973643829958322</c:v>
                </c:pt>
                <c:pt idx="54">
                  <c:v>12.290820470486832</c:v>
                </c:pt>
                <c:pt idx="55">
                  <c:v>11.607997111015342</c:v>
                </c:pt>
                <c:pt idx="56">
                  <c:v>10.925173751543852</c:v>
                </c:pt>
                <c:pt idx="57">
                  <c:v>10.242350392072362</c:v>
                </c:pt>
                <c:pt idx="58">
                  <c:v>9.5595270326008723</c:v>
                </c:pt>
                <c:pt idx="59">
                  <c:v>8.8767036731293825</c:v>
                </c:pt>
                <c:pt idx="60">
                  <c:v>8.1938803136578926</c:v>
                </c:pt>
                <c:pt idx="61">
                  <c:v>7.5110569541864018</c:v>
                </c:pt>
                <c:pt idx="62">
                  <c:v>6.8282335947149111</c:v>
                </c:pt>
                <c:pt idx="63">
                  <c:v>6.1454102352434203</c:v>
                </c:pt>
                <c:pt idx="64">
                  <c:v>5.4625868757719296</c:v>
                </c:pt>
                <c:pt idx="65">
                  <c:v>4.7797635163004388</c:v>
                </c:pt>
                <c:pt idx="66">
                  <c:v>4.0969401568289481</c:v>
                </c:pt>
                <c:pt idx="67">
                  <c:v>3.4141167973574573</c:v>
                </c:pt>
                <c:pt idx="68">
                  <c:v>2.7312934378859666</c:v>
                </c:pt>
                <c:pt idx="69">
                  <c:v>2.0484700784144758</c:v>
                </c:pt>
                <c:pt idx="70">
                  <c:v>1.3656467189429853</c:v>
                </c:pt>
                <c:pt idx="71">
                  <c:v>0.68282335947149475</c:v>
                </c:pt>
                <c:pt idx="72">
                  <c:v>4.2188474935755949E-15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69-19%'!$P$8:$P$130</c15:f>
                <c15:dlblRangeCache>
                  <c:ptCount val="123"/>
                  <c:pt idx="42">
                    <c:v>5%</c:v>
                  </c:pt>
                  <c:pt idx="47">
                    <c:v>33%</c:v>
                  </c:pt>
                  <c:pt idx="52">
                    <c:v>69%</c:v>
                  </c:pt>
                  <c:pt idx="62">
                    <c:v>85%</c:v>
                  </c:pt>
                  <c:pt idx="72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FD20-46A8-BBC2-97ACCB2E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'Scenario 69-19%'!$D$7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69-19%'!$B$8:$B$90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69-19%'!$D$8:$D$90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0.59576548747047564</c:v>
                      </c:pt>
                      <c:pt idx="45">
                        <c:v>0.59050330463999468</c:v>
                      </c:pt>
                      <c:pt idx="46">
                        <c:v>0.57470801978190822</c:v>
                      </c:pt>
                      <c:pt idx="47">
                        <c:v>0.56326176281703599</c:v>
                      </c:pt>
                      <c:pt idx="48">
                        <c:v>0.54752425580502107</c:v>
                      </c:pt>
                      <c:pt idx="49">
                        <c:v>0.53649649119382015</c:v>
                      </c:pt>
                      <c:pt idx="50">
                        <c:v>0.5239417908677142</c:v>
                      </c:pt>
                      <c:pt idx="51">
                        <c:v>0.51221251374627752</c:v>
                      </c:pt>
                      <c:pt idx="52">
                        <c:v>0.50239306827912533</c:v>
                      </c:pt>
                      <c:pt idx="53">
                        <c:v>0.50239306827912533</c:v>
                      </c:pt>
                      <c:pt idx="54">
                        <c:v>0.50239306827912533</c:v>
                      </c:pt>
                      <c:pt idx="55">
                        <c:v>0.50239306827912533</c:v>
                      </c:pt>
                      <c:pt idx="56">
                        <c:v>0.50239306827912533</c:v>
                      </c:pt>
                      <c:pt idx="57">
                        <c:v>0.50239306827912533</c:v>
                      </c:pt>
                      <c:pt idx="58">
                        <c:v>0.50239306827912533</c:v>
                      </c:pt>
                      <c:pt idx="59">
                        <c:v>0.50239306827912533</c:v>
                      </c:pt>
                      <c:pt idx="60">
                        <c:v>0.50239306827912533</c:v>
                      </c:pt>
                      <c:pt idx="61">
                        <c:v>0.50239306827912533</c:v>
                      </c:pt>
                      <c:pt idx="62">
                        <c:v>0.50239306827912533</c:v>
                      </c:pt>
                      <c:pt idx="63">
                        <c:v>0.50239306827912533</c:v>
                      </c:pt>
                      <c:pt idx="64">
                        <c:v>0.50239306827912533</c:v>
                      </c:pt>
                      <c:pt idx="65">
                        <c:v>0.50239306827912533</c:v>
                      </c:pt>
                      <c:pt idx="66">
                        <c:v>0.50239306827912533</c:v>
                      </c:pt>
                      <c:pt idx="67">
                        <c:v>0.50239306827912533</c:v>
                      </c:pt>
                      <c:pt idx="68">
                        <c:v>0.50239306827912533</c:v>
                      </c:pt>
                      <c:pt idx="69">
                        <c:v>0.50239306827912533</c:v>
                      </c:pt>
                      <c:pt idx="70">
                        <c:v>0.50239306827912533</c:v>
                      </c:pt>
                      <c:pt idx="71">
                        <c:v>0.50239306827912533</c:v>
                      </c:pt>
                      <c:pt idx="72">
                        <c:v>0.50239306827912533</c:v>
                      </c:pt>
                      <c:pt idx="73">
                        <c:v>0.50239306827912533</c:v>
                      </c:pt>
                      <c:pt idx="74">
                        <c:v>0.50239306827912533</c:v>
                      </c:pt>
                      <c:pt idx="75">
                        <c:v>0.50239306827912533</c:v>
                      </c:pt>
                      <c:pt idx="76">
                        <c:v>0.50239306827912533</c:v>
                      </c:pt>
                      <c:pt idx="77">
                        <c:v>0.50239306827912533</c:v>
                      </c:pt>
                      <c:pt idx="78">
                        <c:v>0.50239306827912533</c:v>
                      </c:pt>
                      <c:pt idx="79">
                        <c:v>0.50239306827912533</c:v>
                      </c:pt>
                      <c:pt idx="80">
                        <c:v>0.50239306827912533</c:v>
                      </c:pt>
                      <c:pt idx="81">
                        <c:v>0.50239306827912533</c:v>
                      </c:pt>
                      <c:pt idx="82">
                        <c:v>0.50239306827912533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FD20-46A8-BBC2-97ACCB2EF37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2.3894301464913198E-2</c:v>
                      </c:pt>
                      <c:pt idx="45">
                        <c:v>2.3930653345365708E-2</c:v>
                      </c:pt>
                      <c:pt idx="46">
                        <c:v>2.3205583263088417E-2</c:v>
                      </c:pt>
                      <c:pt idx="47">
                        <c:v>2.2794897808031025E-2</c:v>
                      </c:pt>
                      <c:pt idx="48">
                        <c:v>2.2074004398574602E-2</c:v>
                      </c:pt>
                      <c:pt idx="49">
                        <c:v>2.1693571120747115E-2</c:v>
                      </c:pt>
                      <c:pt idx="50">
                        <c:v>2.1202757977049336E-2</c:v>
                      </c:pt>
                      <c:pt idx="51">
                        <c:v>2.0771613424326443E-2</c:v>
                      </c:pt>
                      <c:pt idx="52">
                        <c:v>2.0478527703928308E-2</c:v>
                      </c:pt>
                      <c:pt idx="53" formatCode="0.0">
                        <c:v>2.0478527703928308E-2</c:v>
                      </c:pt>
                      <c:pt idx="54" formatCode="0.0">
                        <c:v>2.0478527703928308E-2</c:v>
                      </c:pt>
                      <c:pt idx="55" formatCode="0.0">
                        <c:v>2.0478527703928308E-2</c:v>
                      </c:pt>
                      <c:pt idx="56" formatCode="0.0">
                        <c:v>2.0478527703928308E-2</c:v>
                      </c:pt>
                      <c:pt idx="57" formatCode="0.0">
                        <c:v>2.0478527703928308E-2</c:v>
                      </c:pt>
                      <c:pt idx="58" formatCode="0.0">
                        <c:v>2.0478527703928308E-2</c:v>
                      </c:pt>
                      <c:pt idx="59" formatCode="0.0">
                        <c:v>2.0478527703928308E-2</c:v>
                      </c:pt>
                      <c:pt idx="60" formatCode="0.0">
                        <c:v>2.0478527703928308E-2</c:v>
                      </c:pt>
                      <c:pt idx="61" formatCode="0.0">
                        <c:v>2.0478527703928308E-2</c:v>
                      </c:pt>
                      <c:pt idx="62" formatCode="0.0">
                        <c:v>2.0478527703928308E-2</c:v>
                      </c:pt>
                      <c:pt idx="63" formatCode="0.0">
                        <c:v>2.0478527703928308E-2</c:v>
                      </c:pt>
                      <c:pt idx="64" formatCode="0.0">
                        <c:v>2.0478527703928308E-2</c:v>
                      </c:pt>
                      <c:pt idx="65" formatCode="0.0">
                        <c:v>2.0478527703928308E-2</c:v>
                      </c:pt>
                      <c:pt idx="66" formatCode="0.0">
                        <c:v>2.0478527703928308E-2</c:v>
                      </c:pt>
                      <c:pt idx="67" formatCode="0.0">
                        <c:v>2.0478527703928308E-2</c:v>
                      </c:pt>
                      <c:pt idx="68" formatCode="0.0">
                        <c:v>2.0478527703928308E-2</c:v>
                      </c:pt>
                      <c:pt idx="69" formatCode="0.0">
                        <c:v>2.0478527703928308E-2</c:v>
                      </c:pt>
                      <c:pt idx="70" formatCode="0.0">
                        <c:v>2.0478527703928308E-2</c:v>
                      </c:pt>
                      <c:pt idx="71" formatCode="0.0">
                        <c:v>2.0478527703928308E-2</c:v>
                      </c:pt>
                      <c:pt idx="72" formatCode="0.0">
                        <c:v>2.0478527703928308E-2</c:v>
                      </c:pt>
                      <c:pt idx="73" formatCode="0.0">
                        <c:v>2.0478527703928308E-2</c:v>
                      </c:pt>
                      <c:pt idx="74" formatCode="0.0">
                        <c:v>2.0478527703928308E-2</c:v>
                      </c:pt>
                      <c:pt idx="75" formatCode="0.0">
                        <c:v>2.0478527703928308E-2</c:v>
                      </c:pt>
                      <c:pt idx="76" formatCode="0.0">
                        <c:v>2.0478527703928308E-2</c:v>
                      </c:pt>
                      <c:pt idx="77" formatCode="0.0">
                        <c:v>2.0478527703928308E-2</c:v>
                      </c:pt>
                      <c:pt idx="78" formatCode="0.0">
                        <c:v>2.0478527703928308E-2</c:v>
                      </c:pt>
                      <c:pt idx="79" formatCode="0.0">
                        <c:v>2.0478527703928308E-2</c:v>
                      </c:pt>
                      <c:pt idx="80" formatCode="0.0">
                        <c:v>2.0478527703928308E-2</c:v>
                      </c:pt>
                      <c:pt idx="81" formatCode="0.0">
                        <c:v>2.0478527703928308E-2</c:v>
                      </c:pt>
                      <c:pt idx="82" formatCode="0.0">
                        <c:v>2.0478527703928308E-2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FD20-46A8-BBC2-97ACCB2EF37F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Methane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'Scenario 69-19%'!$D$7</c:f>
              <c:strCache>
                <c:ptCount val="1"/>
                <c:pt idx="0">
                  <c:v>CH4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90-4E09-8BA1-C4F2711C23A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90-4E09-8BA1-C4F2711C23A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90-4E09-8BA1-C4F2711C23A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90-4E09-8BA1-C4F2711C23A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90-4E09-8BA1-C4F2711C23A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90-4E09-8BA1-C4F2711C23A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90-4E09-8BA1-C4F2711C23A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90-4E09-8BA1-C4F2711C23A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90-4E09-8BA1-C4F2711C23A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90-4E09-8BA1-C4F2711C23A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90-4E09-8BA1-C4F2711C23A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90-4E09-8BA1-C4F2711C23A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6771AB5-ED7A-4FAD-A09D-A86E5F6E33F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A90-4E09-8BA1-C4F2711C23A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7079EBA-2379-40C0-A69B-D362B42961D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A90-4E09-8BA1-C4F2711C23A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DA8F5DF-64BE-4886-B7F5-E73219DD3BA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A90-4E09-8BA1-C4F2711C23A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F35DCF8-2FCB-4E04-9D36-A422B724891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A90-4E09-8BA1-C4F2711C23A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02EECDC-3C86-4CE6-8DB0-06B85CC62E6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A90-4E09-8BA1-C4F2711C23A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18B3524-61FC-484F-8445-4FBEB1BA3B3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A90-4E09-8BA1-C4F2711C23A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C3227DD-AB7B-47D9-ACDC-A9BBFD5545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A90-4E09-8BA1-C4F2711C23A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3F6080B-A01B-4A8F-A31D-84347E701A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A90-4E09-8BA1-C4F2711C23A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F454536-7787-49F0-804B-1CE4BE5C7D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A90-4E09-8BA1-C4F2711C23A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D49989B-19BC-498A-8C56-AA6FB8A0F00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A90-4E09-8BA1-C4F2711C23A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193CA44-61E3-4A31-8C5A-9ABDCEF7A2C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A90-4E09-8BA1-C4F2711C23A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46F9A6D-7CD7-4839-8E8F-D1B6EB69E70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A90-4E09-8BA1-C4F2711C23A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A039BF9A-B6DC-418C-B7D7-D13EDD20F1F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A90-4E09-8BA1-C4F2711C23A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5DCC454-54A5-42F7-A13E-391E9F9BB49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A90-4E09-8BA1-C4F2711C23A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22C59B5-CB60-4876-8413-B8EBDBC600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A90-4E09-8BA1-C4F2711C23A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293BB50-A4BC-4F95-AA19-F1FE6A459F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A90-4E09-8BA1-C4F2711C23A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FA06210-88C3-479E-A093-EA46F4D563F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A90-4E09-8BA1-C4F2711C23A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5C182F2-2FA4-4827-9735-8C32B04244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A90-4E09-8BA1-C4F2711C23A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80DA882-1B51-46BF-9389-EA336EE3C38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A90-4E09-8BA1-C4F2711C23A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F7843DD-C440-4485-8D77-F8282F5CB7E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A90-4E09-8BA1-C4F2711C23A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E65BCDD-D9EB-4AE5-9DAF-E68D85FFAB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A90-4E09-8BA1-C4F2711C23A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B1CA85AE-6671-4CCC-B4AE-13B8DAFF028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A90-4E09-8BA1-C4F2711C23A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922C630-9F46-4E98-A898-C103953B66E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A90-4E09-8BA1-C4F2711C23A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04419ADA-1B87-412B-B0E4-5CCAF5CA612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A90-4E09-8BA1-C4F2711C23A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7027DF52-B8F1-4BD9-AEBF-684AB714AFE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A90-4E09-8BA1-C4F2711C23A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E6663B3-D86E-436A-998C-0D5D59A876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A90-4E09-8BA1-C4F2711C23A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6E37555-DFFF-4727-9F76-D52CB385963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A90-4E09-8BA1-C4F2711C23A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1B165781-BCAC-467C-B6FD-9FAECE46CE0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A90-4E09-8BA1-C4F2711C23A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8146230-1DB0-4124-9C0A-CA3E3E43CD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A90-4E09-8BA1-C4F2711C23A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731FC3DC-EBDD-41FE-81E0-5B31EA8A73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A90-4E09-8BA1-C4F2711C23A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79D3007B-E50F-4111-94B6-BF8B0A5BEA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A90-4E09-8BA1-C4F2711C23A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B7396F28-B800-406C-B8C4-6B8A4C14E2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A90-4E09-8BA1-C4F2711C23A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74B6924-8449-410D-9982-4C13D622D19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A90-4E09-8BA1-C4F2711C23A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B7232BC7-581F-44DA-AA33-A0B0879451C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A90-4E09-8BA1-C4F2711C23A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E76771FF-FB64-4EB8-B0BA-909A578B31F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A90-4E09-8BA1-C4F2711C23A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7EA16C2-249A-4237-91D7-BD3EE3ADC8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AA90-4E09-8BA1-C4F2711C23A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18A5B9FF-7806-438C-BBEA-E03636B109C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AA90-4E09-8BA1-C4F2711C23A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2BF2C281-7787-4DEF-858F-C44E86F17B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A90-4E09-8BA1-C4F2711C23A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37A0EB8D-A561-49A5-8BBF-42B628FFDC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AA90-4E09-8BA1-C4F2711C23A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E122E23B-1C3C-425E-A0B3-8416518814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AA90-4E09-8BA1-C4F2711C23A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18B2A6C1-82BF-46E8-A962-318E974B885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AA90-4E09-8BA1-C4F2711C23A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3104D2B5-6A23-4B59-BA6F-05572EF49C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AA90-4E09-8BA1-C4F2711C23A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B241E492-AFE1-4C28-ABCC-A71F2CC37DE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AA90-4E09-8BA1-C4F2711C23A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4D11AD14-3BC9-4F43-8664-4C087932ABF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AA90-4E09-8BA1-C4F2711C23A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33CE87E5-7445-41EA-B240-B348CADC257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AA90-4E09-8BA1-C4F2711C23A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1CFFA018-19AA-4650-A88E-03A2A8E6960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AA90-4E09-8BA1-C4F2711C23A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856CD06B-D968-4378-A6E5-CFEEB51E19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AA90-4E09-8BA1-C4F2711C23A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A3AAE8D7-866B-4A03-B1E2-629E3A6CC99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AA90-4E09-8BA1-C4F2711C23A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9FB72AD0-D052-4E6C-8768-20739D2DA86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AA90-4E09-8BA1-C4F2711C23A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162F20C3-BF7F-49C5-AE75-C560F7A486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AA90-4E09-8BA1-C4F2711C23A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CEF0F6C1-2D9D-4617-BC32-3758977569A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AA90-4E09-8BA1-C4F2711C23A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F90B54DE-9B76-424F-A395-A5BAC1EF241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AA90-4E09-8BA1-C4F2711C23A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C4E38C9A-036A-4B64-BFE2-71618F44BB5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AA90-4E09-8BA1-C4F2711C23A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93386B56-F07A-496E-999B-A83AB289178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AA90-4E09-8BA1-C4F2711C23A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5A95B447-5CF4-4C32-8B10-72B3DE0A4F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AA90-4E09-8BA1-C4F2711C23A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42004B64-F1C0-4CB2-A389-7843D9E9855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AA90-4E09-8BA1-C4F2711C23A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EAE84ADF-AB62-4EE6-B1A3-31D5A0A03D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AA90-4E09-8BA1-C4F2711C23A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455F9705-08D7-4F76-9FA9-B0B043C4F05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AA90-4E09-8BA1-C4F2711C23A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6C65C167-9E0B-4A12-8E57-BD1A5A4D161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AA90-4E09-8BA1-C4F2711C23A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7CD8EEEA-24F5-49B2-8033-752164F7345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AA90-4E09-8BA1-C4F2711C23A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B18D42CE-162F-4AD9-95C5-3AA711ACE96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AA90-4E09-8BA1-C4F2711C23A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10C34710-3286-4F37-B380-5865E78FB5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AA90-4E09-8BA1-C4F2711C23A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D34449B2-A33B-44D9-8595-E25E3F6BF0B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AA90-4E09-8BA1-C4F2711C23A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9F28B69F-72E9-4B59-8646-7CBD7F62F42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AA90-4E09-8BA1-C4F2711C23A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896FD57B-ED4E-48C0-9CC0-D6AE390BC9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AA90-4E09-8BA1-C4F2711C23A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B53F8BD3-3AF5-4C5B-BD47-1DA5356CD23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AA90-4E09-8BA1-C4F2711C23A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3294A933-CC20-43E4-8E5E-E7FA4D92F6A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AA90-4E09-8BA1-C4F2711C23A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5EA4A763-7D08-4C81-98D5-E418079FA8F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AA90-4E09-8BA1-C4F2711C23A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A7BD6AFC-F074-4DA8-834B-4DBC238D5A0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AA90-4E09-8BA1-C4F2711C23A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AD2A8BD2-151D-470E-A7F6-B03AAEF1AE7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AA90-4E09-8BA1-C4F2711C23A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4044F018-67E1-4FE5-BCF9-9B770E6E2FA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AA90-4E09-8BA1-C4F2711C23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69-19%'!$B$8:$B$90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69-19%'!$D$8:$D$90</c:f>
              <c:numCache>
                <c:formatCode>0.00</c:formatCode>
                <c:ptCount val="83"/>
                <c:pt idx="12">
                  <c:v>0.56846617435307711</c:v>
                </c:pt>
                <c:pt idx="13">
                  <c:v>0.57899497527056076</c:v>
                </c:pt>
                <c:pt idx="14">
                  <c:v>0.58638316837148285</c:v>
                </c:pt>
                <c:pt idx="15">
                  <c:v>0.59483377727766906</c:v>
                </c:pt>
                <c:pt idx="16">
                  <c:v>0.59526602098909942</c:v>
                </c:pt>
                <c:pt idx="17">
                  <c:v>0.60059169683666336</c:v>
                </c:pt>
                <c:pt idx="18">
                  <c:v>0.61511089079967096</c:v>
                </c:pt>
                <c:pt idx="19">
                  <c:v>0.61488733682276098</c:v>
                </c:pt>
                <c:pt idx="20">
                  <c:v>0.62689098869315008</c:v>
                </c:pt>
                <c:pt idx="21">
                  <c:v>0.60985790475145341</c:v>
                </c:pt>
                <c:pt idx="22">
                  <c:v>0.59281659514673379</c:v>
                </c:pt>
                <c:pt idx="23">
                  <c:v>0.60653930034350212</c:v>
                </c:pt>
                <c:pt idx="24">
                  <c:v>0.59584131612224078</c:v>
                </c:pt>
                <c:pt idx="25">
                  <c:v>0.6315771849487738</c:v>
                </c:pt>
                <c:pt idx="26">
                  <c:v>0.58670195261344882</c:v>
                </c:pt>
                <c:pt idx="27">
                  <c:v>0.57896199008081672</c:v>
                </c:pt>
                <c:pt idx="28">
                  <c:v>0.58365900940295345</c:v>
                </c:pt>
                <c:pt idx="29">
                  <c:v>0.54949163157015002</c:v>
                </c:pt>
                <c:pt idx="30">
                  <c:v>0.54327868568762094</c:v>
                </c:pt>
                <c:pt idx="31">
                  <c:v>0.52849395261365861</c:v>
                </c:pt>
                <c:pt idx="32">
                  <c:v>0.53088913019285489</c:v>
                </c:pt>
                <c:pt idx="33">
                  <c:v>0.52067847685625956</c:v>
                </c:pt>
                <c:pt idx="34">
                  <c:v>0.54122860081163016</c:v>
                </c:pt>
                <c:pt idx="35">
                  <c:v>0.55563293823158555</c:v>
                </c:pt>
                <c:pt idx="36">
                  <c:v>0.56469371673730473</c:v>
                </c:pt>
                <c:pt idx="37">
                  <c:v>0.57912274054536717</c:v>
                </c:pt>
                <c:pt idx="38">
                  <c:v>0.59326897730059025</c:v>
                </c:pt>
                <c:pt idx="39">
                  <c:v>0.62003341514735055</c:v>
                </c:pt>
                <c:pt idx="40" formatCode="0.0">
                  <c:v>0.62362502085979499</c:v>
                </c:pt>
                <c:pt idx="41">
                  <c:v>0.60727248931136102</c:v>
                </c:pt>
                <c:pt idx="42">
                  <c:v>0.60563517202162709</c:v>
                </c:pt>
                <c:pt idx="43">
                  <c:v>0.60698426400733474</c:v>
                </c:pt>
                <c:pt idx="44">
                  <c:v>0.59576548747047564</c:v>
                </c:pt>
                <c:pt idx="45">
                  <c:v>0.59050330463999468</c:v>
                </c:pt>
                <c:pt idx="46">
                  <c:v>0.57470801978190822</c:v>
                </c:pt>
                <c:pt idx="47">
                  <c:v>0.56326176281703599</c:v>
                </c:pt>
                <c:pt idx="48">
                  <c:v>0.54752425580502107</c:v>
                </c:pt>
                <c:pt idx="49">
                  <c:v>0.53649649119382015</c:v>
                </c:pt>
                <c:pt idx="50">
                  <c:v>0.5239417908677142</c:v>
                </c:pt>
                <c:pt idx="51">
                  <c:v>0.51221251374627752</c:v>
                </c:pt>
                <c:pt idx="52">
                  <c:v>0.50239306827912533</c:v>
                </c:pt>
                <c:pt idx="53">
                  <c:v>0.50239306827912533</c:v>
                </c:pt>
                <c:pt idx="54">
                  <c:v>0.50239306827912533</c:v>
                </c:pt>
                <c:pt idx="55">
                  <c:v>0.50239306827912533</c:v>
                </c:pt>
                <c:pt idx="56">
                  <c:v>0.50239306827912533</c:v>
                </c:pt>
                <c:pt idx="57">
                  <c:v>0.50239306827912533</c:v>
                </c:pt>
                <c:pt idx="58">
                  <c:v>0.50239306827912533</c:v>
                </c:pt>
                <c:pt idx="59">
                  <c:v>0.50239306827912533</c:v>
                </c:pt>
                <c:pt idx="60">
                  <c:v>0.50239306827912533</c:v>
                </c:pt>
                <c:pt idx="61">
                  <c:v>0.50239306827912533</c:v>
                </c:pt>
                <c:pt idx="62">
                  <c:v>0.50239306827912533</c:v>
                </c:pt>
                <c:pt idx="63">
                  <c:v>0.50239306827912533</c:v>
                </c:pt>
                <c:pt idx="64">
                  <c:v>0.50239306827912533</c:v>
                </c:pt>
                <c:pt idx="65">
                  <c:v>0.50239306827912533</c:v>
                </c:pt>
                <c:pt idx="66">
                  <c:v>0.50239306827912533</c:v>
                </c:pt>
                <c:pt idx="67">
                  <c:v>0.50239306827912533</c:v>
                </c:pt>
                <c:pt idx="68">
                  <c:v>0.50239306827912533</c:v>
                </c:pt>
                <c:pt idx="69">
                  <c:v>0.50239306827912533</c:v>
                </c:pt>
                <c:pt idx="70">
                  <c:v>0.50239306827912533</c:v>
                </c:pt>
                <c:pt idx="71">
                  <c:v>0.50239306827912533</c:v>
                </c:pt>
                <c:pt idx="72">
                  <c:v>0.50239306827912533</c:v>
                </c:pt>
                <c:pt idx="73">
                  <c:v>0.50239306827912533</c:v>
                </c:pt>
                <c:pt idx="74">
                  <c:v>0.50239306827912533</c:v>
                </c:pt>
                <c:pt idx="75">
                  <c:v>0.50239306827912533</c:v>
                </c:pt>
                <c:pt idx="76">
                  <c:v>0.50239306827912533</c:v>
                </c:pt>
                <c:pt idx="77">
                  <c:v>0.50239306827912533</c:v>
                </c:pt>
                <c:pt idx="78">
                  <c:v>0.50239306827912533</c:v>
                </c:pt>
                <c:pt idx="79">
                  <c:v>0.50239306827912533</c:v>
                </c:pt>
                <c:pt idx="80">
                  <c:v>0.50239306827912533</c:v>
                </c:pt>
                <c:pt idx="81">
                  <c:v>0.50239306827912533</c:v>
                </c:pt>
                <c:pt idx="82">
                  <c:v>0.50239306827912533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69-19%'!$Q$8:$Q$130</c15:f>
                <c15:dlblRangeCache>
                  <c:ptCount val="123"/>
                  <c:pt idx="42">
                    <c:v>3%</c:v>
                  </c:pt>
                  <c:pt idx="47">
                    <c:v>10%</c:v>
                  </c:pt>
                  <c:pt idx="52">
                    <c:v>19%</c:v>
                  </c:pt>
                  <c:pt idx="62">
                    <c:v>19%</c:v>
                  </c:pt>
                  <c:pt idx="72">
                    <c:v>19%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AA90-4E09-8BA1-C4F2711C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69-19%'!$C$7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69-19%'!$B$8:$B$90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69-19%'!$C$8:$C$90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>
                        <c:v>41.81151164486662</c:v>
                      </c:pt>
                      <c:pt idx="42">
                        <c:v>41.81151164486662</c:v>
                      </c:pt>
                      <c:pt idx="43">
                        <c:v>41.81151164486662</c:v>
                      </c:pt>
                      <c:pt idx="44">
                        <c:v>38.683173372040308</c:v>
                      </c:pt>
                      <c:pt idx="45">
                        <c:v>35.554835099213996</c:v>
                      </c:pt>
                      <c:pt idx="46">
                        <c:v>32.426496826387684</c:v>
                      </c:pt>
                      <c:pt idx="47">
                        <c:v>29.298158553561372</c:v>
                      </c:pt>
                      <c:pt idx="48">
                        <c:v>26.16982028073506</c:v>
                      </c:pt>
                      <c:pt idx="49">
                        <c:v>23.041482007908748</c:v>
                      </c:pt>
                      <c:pt idx="50">
                        <c:v>19.913143735082436</c:v>
                      </c:pt>
                      <c:pt idx="51">
                        <c:v>16.784805462256124</c:v>
                      </c:pt>
                      <c:pt idx="52">
                        <c:v>13.656467189429812</c:v>
                      </c:pt>
                      <c:pt idx="53">
                        <c:v>12.973643829958322</c:v>
                      </c:pt>
                      <c:pt idx="54">
                        <c:v>12.290820470486832</c:v>
                      </c:pt>
                      <c:pt idx="55">
                        <c:v>11.607997111015342</c:v>
                      </c:pt>
                      <c:pt idx="56">
                        <c:v>10.925173751543852</c:v>
                      </c:pt>
                      <c:pt idx="57">
                        <c:v>10.242350392072362</c:v>
                      </c:pt>
                      <c:pt idx="58">
                        <c:v>9.5595270326008723</c:v>
                      </c:pt>
                      <c:pt idx="59">
                        <c:v>8.8767036731293825</c:v>
                      </c:pt>
                      <c:pt idx="60">
                        <c:v>8.1938803136578926</c:v>
                      </c:pt>
                      <c:pt idx="61">
                        <c:v>7.5110569541864018</c:v>
                      </c:pt>
                      <c:pt idx="62">
                        <c:v>6.8282335947149111</c:v>
                      </c:pt>
                      <c:pt idx="63">
                        <c:v>6.1454102352434203</c:v>
                      </c:pt>
                      <c:pt idx="64">
                        <c:v>5.4625868757719296</c:v>
                      </c:pt>
                      <c:pt idx="65">
                        <c:v>4.7797635163004388</c:v>
                      </c:pt>
                      <c:pt idx="66">
                        <c:v>4.0969401568289481</c:v>
                      </c:pt>
                      <c:pt idx="67">
                        <c:v>3.4141167973574573</c:v>
                      </c:pt>
                      <c:pt idx="68">
                        <c:v>2.7312934378859666</c:v>
                      </c:pt>
                      <c:pt idx="69">
                        <c:v>2.0484700784144758</c:v>
                      </c:pt>
                      <c:pt idx="70">
                        <c:v>1.3656467189429853</c:v>
                      </c:pt>
                      <c:pt idx="71">
                        <c:v>0.68282335947149475</c:v>
                      </c:pt>
                      <c:pt idx="72">
                        <c:v>4.2188474935755949E-15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AA90-4E09-8BA1-C4F2711C23A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69-19%'!$E$7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69-19%'!$E$8:$E$90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2.6227661646226468E-2</c:v>
                      </c:pt>
                      <c:pt idx="13">
                        <c:v>2.554114757699584E-2</c:v>
                      </c:pt>
                      <c:pt idx="14">
                        <c:v>2.5204417941327273E-2</c:v>
                      </c:pt>
                      <c:pt idx="15">
                        <c:v>2.5697521605793531E-2</c:v>
                      </c:pt>
                      <c:pt idx="16">
                        <c:v>2.6660195601452181E-2</c:v>
                      </c:pt>
                      <c:pt idx="17">
                        <c:v>2.7848538989904151E-2</c:v>
                      </c:pt>
                      <c:pt idx="18">
                        <c:v>2.8242940550096497E-2</c:v>
                      </c:pt>
                      <c:pt idx="19">
                        <c:v>2.7991006485181408E-2</c:v>
                      </c:pt>
                      <c:pt idx="20">
                        <c:v>2.9429943506676829E-2</c:v>
                      </c:pt>
                      <c:pt idx="21">
                        <c:v>2.8645206014373741E-2</c:v>
                      </c:pt>
                      <c:pt idx="22">
                        <c:v>2.7713149439546961E-2</c:v>
                      </c:pt>
                      <c:pt idx="23">
                        <c:v>2.6361520111669961E-2</c:v>
                      </c:pt>
                      <c:pt idx="24">
                        <c:v>2.5205268301960501E-2</c:v>
                      </c:pt>
                      <c:pt idx="25">
                        <c:v>2.5051707160096713E-2</c:v>
                      </c:pt>
                      <c:pt idx="26">
                        <c:v>2.4462801837163501E-2</c:v>
                      </c:pt>
                      <c:pt idx="27">
                        <c:v>2.4090144176706841E-2</c:v>
                      </c:pt>
                      <c:pt idx="28">
                        <c:v>2.3416369558615369E-2</c:v>
                      </c:pt>
                      <c:pt idx="29">
                        <c:v>2.2587866931128592E-2</c:v>
                      </c:pt>
                      <c:pt idx="30">
                        <c:v>2.252824456889773E-2</c:v>
                      </c:pt>
                      <c:pt idx="31">
                        <c:v>2.1984221435495593E-2</c:v>
                      </c:pt>
                      <c:pt idx="32">
                        <c:v>2.3205006831574712E-2</c:v>
                      </c:pt>
                      <c:pt idx="33">
                        <c:v>2.1596923732384501E-2</c:v>
                      </c:pt>
                      <c:pt idx="34">
                        <c:v>2.2350835962576289E-2</c:v>
                      </c:pt>
                      <c:pt idx="35">
                        <c:v>2.3861676615019551E-2</c:v>
                      </c:pt>
                      <c:pt idx="36">
                        <c:v>2.3087068532383508E-2</c:v>
                      </c:pt>
                      <c:pt idx="37">
                        <c:v>2.3139800195035771E-2</c:v>
                      </c:pt>
                      <c:pt idx="38">
                        <c:v>2.3402918953505311E-2</c:v>
                      </c:pt>
                      <c:pt idx="39">
                        <c:v>2.4736923302581051E-2</c:v>
                      </c:pt>
                      <c:pt idx="40">
                        <c:v>2.5646912762990196E-2</c:v>
                      </c:pt>
                      <c:pt idx="41">
                        <c:v>2.4309378074883786E-2</c:v>
                      </c:pt>
                      <c:pt idx="42">
                        <c:v>2.4191018892461238E-2</c:v>
                      </c:pt>
                      <c:pt idx="43">
                        <c:v>2.4288542705006529E-2</c:v>
                      </c:pt>
                      <c:pt idx="44">
                        <c:v>2.3894301464913198E-2</c:v>
                      </c:pt>
                      <c:pt idx="45">
                        <c:v>2.3930653345365708E-2</c:v>
                      </c:pt>
                      <c:pt idx="46">
                        <c:v>2.3205583263088417E-2</c:v>
                      </c:pt>
                      <c:pt idx="47">
                        <c:v>2.2794897808031025E-2</c:v>
                      </c:pt>
                      <c:pt idx="48">
                        <c:v>2.2074004398574602E-2</c:v>
                      </c:pt>
                      <c:pt idx="49">
                        <c:v>2.1693571120747115E-2</c:v>
                      </c:pt>
                      <c:pt idx="50">
                        <c:v>2.1202757977049336E-2</c:v>
                      </c:pt>
                      <c:pt idx="51">
                        <c:v>2.0771613424326443E-2</c:v>
                      </c:pt>
                      <c:pt idx="52">
                        <c:v>2.0478527703928308E-2</c:v>
                      </c:pt>
                      <c:pt idx="53" formatCode="0.0">
                        <c:v>2.0478527703928308E-2</c:v>
                      </c:pt>
                      <c:pt idx="54" formatCode="0.0">
                        <c:v>2.0478527703928308E-2</c:v>
                      </c:pt>
                      <c:pt idx="55" formatCode="0.0">
                        <c:v>2.0478527703928308E-2</c:v>
                      </c:pt>
                      <c:pt idx="56" formatCode="0.0">
                        <c:v>2.0478527703928308E-2</c:v>
                      </c:pt>
                      <c:pt idx="57" formatCode="0.0">
                        <c:v>2.0478527703928308E-2</c:v>
                      </c:pt>
                      <c:pt idx="58" formatCode="0.0">
                        <c:v>2.0478527703928308E-2</c:v>
                      </c:pt>
                      <c:pt idx="59" formatCode="0.0">
                        <c:v>2.0478527703928308E-2</c:v>
                      </c:pt>
                      <c:pt idx="60" formatCode="0.0">
                        <c:v>2.0478527703928308E-2</c:v>
                      </c:pt>
                      <c:pt idx="61" formatCode="0.0">
                        <c:v>2.0478527703928308E-2</c:v>
                      </c:pt>
                      <c:pt idx="62" formatCode="0.0">
                        <c:v>2.0478527703928308E-2</c:v>
                      </c:pt>
                      <c:pt idx="63" formatCode="0.0">
                        <c:v>2.0478527703928308E-2</c:v>
                      </c:pt>
                      <c:pt idx="64" formatCode="0.0">
                        <c:v>2.0478527703928308E-2</c:v>
                      </c:pt>
                      <c:pt idx="65" formatCode="0.0">
                        <c:v>2.0478527703928308E-2</c:v>
                      </c:pt>
                      <c:pt idx="66" formatCode="0.0">
                        <c:v>2.0478527703928308E-2</c:v>
                      </c:pt>
                      <c:pt idx="67" formatCode="0.0">
                        <c:v>2.0478527703928308E-2</c:v>
                      </c:pt>
                      <c:pt idx="68" formatCode="0.0">
                        <c:v>2.0478527703928308E-2</c:v>
                      </c:pt>
                      <c:pt idx="69" formatCode="0.0">
                        <c:v>2.0478527703928308E-2</c:v>
                      </c:pt>
                      <c:pt idx="70" formatCode="0.0">
                        <c:v>2.0478527703928308E-2</c:v>
                      </c:pt>
                      <c:pt idx="71" formatCode="0.0">
                        <c:v>2.0478527703928308E-2</c:v>
                      </c:pt>
                      <c:pt idx="72" formatCode="0.0">
                        <c:v>2.0478527703928308E-2</c:v>
                      </c:pt>
                      <c:pt idx="73" formatCode="0.0">
                        <c:v>2.0478527703928308E-2</c:v>
                      </c:pt>
                      <c:pt idx="74" formatCode="0.0">
                        <c:v>2.0478527703928308E-2</c:v>
                      </c:pt>
                      <c:pt idx="75" formatCode="0.0">
                        <c:v>2.0478527703928308E-2</c:v>
                      </c:pt>
                      <c:pt idx="76" formatCode="0.0">
                        <c:v>2.0478527703928308E-2</c:v>
                      </c:pt>
                      <c:pt idx="77" formatCode="0.0">
                        <c:v>2.0478527703928308E-2</c:v>
                      </c:pt>
                      <c:pt idx="78" formatCode="0.0">
                        <c:v>2.0478527703928308E-2</c:v>
                      </c:pt>
                      <c:pt idx="79" formatCode="0.0">
                        <c:v>2.0478527703928308E-2</c:v>
                      </c:pt>
                      <c:pt idx="80" formatCode="0.0">
                        <c:v>2.0478527703928308E-2</c:v>
                      </c:pt>
                      <c:pt idx="81" formatCode="0.0">
                        <c:v>2.0478527703928308E-2</c:v>
                      </c:pt>
                      <c:pt idx="82" formatCode="0.0">
                        <c:v>2.0478527703928308E-2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AA90-4E09-8BA1-C4F2711C23A9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Nitrous Oxide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'Scenario 69-19%'!$E$7</c:f>
              <c:strCache>
                <c:ptCount val="1"/>
                <c:pt idx="0">
                  <c:v>N2O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8E-4E65-B421-1ECDEB0DE9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8E-4E65-B421-1ECDEB0DE9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8E-4E65-B421-1ECDEB0DE9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8E-4E65-B421-1ECDEB0DE9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8E-4E65-B421-1ECDEB0DE9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8E-4E65-B421-1ECDEB0DE9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8E-4E65-B421-1ECDEB0DE9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8E-4E65-B421-1ECDEB0DE9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8E-4E65-B421-1ECDEB0DE9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8E-4E65-B421-1ECDEB0DE9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8E-4E65-B421-1ECDEB0DE95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8E-4E65-B421-1ECDEB0DE9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DC86C09-605F-4CE9-81D6-23520252600A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48E-4E65-B421-1ECDEB0DE9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8EA5D27-C62D-4A85-965F-A27F1573DCD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48E-4E65-B421-1ECDEB0DE95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43C176B-F2AE-4185-B220-D4ED9D3F1A9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48E-4E65-B421-1ECDEB0DE95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6C88096-29AB-4128-BC65-DB3E23F6B3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48E-4E65-B421-1ECDEB0DE95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1506B4B-325D-4043-847E-D601C9DE5E4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48E-4E65-B421-1ECDEB0DE95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7BF50F9-5FAA-4015-8942-D0DA7433892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48E-4E65-B421-1ECDEB0DE95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95038E7-EDAA-4592-BA5E-DB93CB50458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48E-4E65-B421-1ECDEB0DE95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5004B77-BCFD-4404-929C-5DB0DC4CDAD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48E-4E65-B421-1ECDEB0DE95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24901E7-096E-43E4-ACC5-BA6BBB51F10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48E-4E65-B421-1ECDEB0DE95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2070BA2-5329-4BF7-99E8-C68DAB7662C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48E-4E65-B421-1ECDEB0DE95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BC2FE6E-9E18-4408-A4BB-A8C3BD64B09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48E-4E65-B421-1ECDEB0DE95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362CEB3-A487-4038-AA2A-D3CEED97B6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48E-4E65-B421-1ECDEB0DE95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366359D-B95F-476B-A992-1DC734C2C80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48E-4E65-B421-1ECDEB0DE95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DDFB5DC-AC0D-47CB-ACD7-8A6A85710CE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48E-4E65-B421-1ECDEB0DE95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121851C-894B-4FE8-8277-19DD395089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48E-4E65-B421-1ECDEB0DE95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B9BA56B-3974-4D77-847E-6BB940C333A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48E-4E65-B421-1ECDEB0DE95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D586E53-EC36-45FD-8FB8-44B7F224B1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48E-4E65-B421-1ECDEB0DE95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6A593110-29B8-46FB-B6EE-1B646DF287B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48E-4E65-B421-1ECDEB0DE95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77D194C7-B0F2-49D1-8EF3-EF7CCCCE7CF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48E-4E65-B421-1ECDEB0DE95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66D24B80-651F-4BE7-888A-DC021D40126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48E-4E65-B421-1ECDEB0DE95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FBA70D7-76A0-4794-9263-C0507A479AC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48E-4E65-B421-1ECDEB0DE95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19A54B8-FDBE-4EFC-B42E-F2ED926E996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48E-4E65-B421-1ECDEB0DE95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B3BBEEA-9A89-41D9-97F3-14617374F94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48E-4E65-B421-1ECDEB0DE95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71DFD258-1204-4688-B0B2-DC4FC9752B8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48E-4E65-B421-1ECDEB0DE95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08EB879A-EAA3-4B45-B092-E4A3A868C55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48E-4E65-B421-1ECDEB0DE95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083D63F2-9D90-455D-8B23-CCC401543E2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48E-4E65-B421-1ECDEB0DE95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DD4F64E-65FC-4A99-81E3-75DC0A28A06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48E-4E65-B421-1ECDEB0DE95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D215187-D87D-4C70-9F9F-EED278A7FC4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48E-4E65-B421-1ECDEB0DE95E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CFB0039-6778-4890-834B-F3355162603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48E-4E65-B421-1ECDEB0DE95E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CB54335D-A815-4E81-B138-B0AE39AC758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48E-4E65-B421-1ECDEB0DE95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56C61379-ECE6-4FE4-89F6-B3A079EB791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48E-4E65-B421-1ECDEB0DE95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905C866-4835-44F6-BCBD-436418225E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48E-4E65-B421-1ECDEB0DE95E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A7C5F2E-3D6A-4EBE-8F42-649BE4A4324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48E-4E65-B421-1ECDEB0DE95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733A9CBC-D611-49B0-9354-4E130C0E6EC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48E-4E65-B421-1ECDEB0DE95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645E640B-EC37-4400-94B3-EDD8F593544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48E-4E65-B421-1ECDEB0DE95E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8B82A688-9038-42D2-911F-E76081CCCB3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48E-4E65-B421-1ECDEB0DE95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35D0390-1E3C-43F4-BCE7-43BD0C40D4F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48E-4E65-B421-1ECDEB0DE95E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15A00BF-2F1A-448B-A3E3-12C79E2F5CB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48E-4E65-B421-1ECDEB0DE95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49D4CF0-B961-48C6-AD9F-B7DD8856149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48E-4E65-B421-1ECDEB0DE95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9E95F21-8ABD-4214-A721-DD48E9D47CB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48E-4E65-B421-1ECDEB0DE95E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82E5F36-CFCD-4769-9EFE-8758690050C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48E-4E65-B421-1ECDEB0DE95E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5A20F150-E01B-4A9B-B8AA-46014C2A348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48E-4E65-B421-1ECDEB0DE95E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3D2848F1-BEC1-487C-95AE-DE997096A7C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48E-4E65-B421-1ECDEB0DE95E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6A016EA2-7565-4158-A5C2-33C8F430082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348E-4E65-B421-1ECDEB0DE95E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2851E030-41BE-4AE0-85B2-0C46E7593E98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348E-4E65-B421-1ECDEB0DE95E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B517544D-E89B-4859-8970-4301B41A321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348E-4E65-B421-1ECDEB0DE95E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F18F760D-1286-440F-8B0D-F20FFB1CC97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348E-4E65-B421-1ECDEB0DE95E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BE0F93E3-BC24-4D83-A4AA-DF67870EB0D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348E-4E65-B421-1ECDEB0DE95E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96D80171-8C3A-49C8-902C-F329FBF918B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348E-4E65-B421-1ECDEB0DE95E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1B90288A-9BF4-4EAE-822C-8E5B3B69952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348E-4E65-B421-1ECDEB0DE95E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87FE4DF3-0EA4-41AB-965D-848E3ED0ED3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348E-4E65-B421-1ECDEB0DE95E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A49BD7A8-18D7-4AFB-9455-3E2DDA4266A6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348E-4E65-B421-1ECDEB0DE95E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F780B725-803A-4B84-9E8D-0120665B354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348E-4E65-B421-1ECDEB0DE95E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F4D65BC1-C747-44C7-BF6F-EAAFE8824AB9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348E-4E65-B421-1ECDEB0DE95E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37A66EE-CED8-41ED-B860-0FD201A2C2B3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348E-4E65-B421-1ECDEB0DE95E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911ED772-4B8A-4F70-BD9E-3CBF24B097DD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348E-4E65-B421-1ECDEB0DE95E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48C8EA84-29AB-4D72-B826-D64FDF31F734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348E-4E65-B421-1ECDEB0DE95E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BF08110E-1072-41EC-B831-B351536A8AF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348E-4E65-B421-1ECDEB0DE95E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C03494BB-2C3D-4594-A7AB-26C45D7A1FDE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348E-4E65-B421-1ECDEB0DE95E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55100017-64B8-4D1C-8F59-EA174634D855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348E-4E65-B421-1ECDEB0DE95E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5CB32518-5889-41A7-9BB3-AB630D6AB31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348E-4E65-B421-1ECDEB0DE95E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47A5FFE-64FF-4D58-B5FF-4B908EF0EB9A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348E-4E65-B421-1ECDEB0DE95E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3174B3F8-5596-4EBC-BF7C-A5B7A94ACA2F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348E-4E65-B421-1ECDEB0DE95E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F0986315-FAB8-46AD-96C7-CF2B2ACF3FF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348E-4E65-B421-1ECDEB0DE95E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885DEBF7-3687-4620-B90C-60A851795FF7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348E-4E65-B421-1ECDEB0DE95E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A12732B4-9F40-4310-B082-3D1AA2E61EBC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348E-4E65-B421-1ECDEB0DE95E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56DA4CB4-6A1C-428D-8B31-2E49FCBABD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348E-4E65-B421-1ECDEB0DE95E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171EAD99-E04D-4A3E-9008-044E487447E1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348E-4E65-B421-1ECDEB0DE95E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2DFBA9E6-0A53-45CD-BDAC-D5133C2D360B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348E-4E65-B421-1ECDEB0DE95E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834E3346-5D98-4D4C-ABDE-804DDC6BA6A0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348E-4E65-B421-1ECDEB0DE95E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FC4649B7-5303-413D-90A5-091B89167A82}" type="CELLRANGE">
                      <a:rPr lang="en-IE"/>
                      <a:pPr/>
                      <a:t>[CELLRANGE]</a:t>
                    </a:fld>
                    <a:endParaRPr lang="en-I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348E-4E65-B421-1ECDEB0DE9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'Scenario 69-19%'!$B$8:$B$90</c:f>
              <c:numCache>
                <c:formatCode>General</c:formatCode>
                <c:ptCount val="83"/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  <c:pt idx="68">
                  <c:v>2046</c:v>
                </c:pt>
                <c:pt idx="69">
                  <c:v>2047</c:v>
                </c:pt>
                <c:pt idx="70">
                  <c:v>2048</c:v>
                </c:pt>
                <c:pt idx="71">
                  <c:v>2049</c:v>
                </c:pt>
                <c:pt idx="72">
                  <c:v>2050</c:v>
                </c:pt>
                <c:pt idx="73">
                  <c:v>2051</c:v>
                </c:pt>
                <c:pt idx="74">
                  <c:v>2052</c:v>
                </c:pt>
                <c:pt idx="75">
                  <c:v>2053</c:v>
                </c:pt>
                <c:pt idx="76">
                  <c:v>2054</c:v>
                </c:pt>
                <c:pt idx="77">
                  <c:v>2055</c:v>
                </c:pt>
                <c:pt idx="78">
                  <c:v>2056</c:v>
                </c:pt>
                <c:pt idx="79">
                  <c:v>2057</c:v>
                </c:pt>
                <c:pt idx="80">
                  <c:v>2058</c:v>
                </c:pt>
                <c:pt idx="81">
                  <c:v>2059</c:v>
                </c:pt>
                <c:pt idx="82">
                  <c:v>2060</c:v>
                </c:pt>
              </c:numCache>
            </c:numRef>
          </c:xVal>
          <c:yVal>
            <c:numRef>
              <c:f>'Scenario 69-19%'!$E$8:$E$90</c:f>
              <c:numCache>
                <c:formatCode>0.00</c:formatCode>
                <c:ptCount val="83"/>
                <c:pt idx="12">
                  <c:v>2.6227661646226468E-2</c:v>
                </c:pt>
                <c:pt idx="13">
                  <c:v>2.554114757699584E-2</c:v>
                </c:pt>
                <c:pt idx="14">
                  <c:v>2.5204417941327273E-2</c:v>
                </c:pt>
                <c:pt idx="15">
                  <c:v>2.5697521605793531E-2</c:v>
                </c:pt>
                <c:pt idx="16">
                  <c:v>2.6660195601452181E-2</c:v>
                </c:pt>
                <c:pt idx="17">
                  <c:v>2.7848538989904151E-2</c:v>
                </c:pt>
                <c:pt idx="18">
                  <c:v>2.8242940550096497E-2</c:v>
                </c:pt>
                <c:pt idx="19">
                  <c:v>2.7991006485181408E-2</c:v>
                </c:pt>
                <c:pt idx="20">
                  <c:v>2.9429943506676829E-2</c:v>
                </c:pt>
                <c:pt idx="21">
                  <c:v>2.8645206014373741E-2</c:v>
                </c:pt>
                <c:pt idx="22">
                  <c:v>2.7713149439546961E-2</c:v>
                </c:pt>
                <c:pt idx="23">
                  <c:v>2.6361520111669961E-2</c:v>
                </c:pt>
                <c:pt idx="24">
                  <c:v>2.5205268301960501E-2</c:v>
                </c:pt>
                <c:pt idx="25">
                  <c:v>2.5051707160096713E-2</c:v>
                </c:pt>
                <c:pt idx="26">
                  <c:v>2.4462801837163501E-2</c:v>
                </c:pt>
                <c:pt idx="27">
                  <c:v>2.4090144176706841E-2</c:v>
                </c:pt>
                <c:pt idx="28">
                  <c:v>2.3416369558615369E-2</c:v>
                </c:pt>
                <c:pt idx="29">
                  <c:v>2.2587866931128592E-2</c:v>
                </c:pt>
                <c:pt idx="30">
                  <c:v>2.252824456889773E-2</c:v>
                </c:pt>
                <c:pt idx="31">
                  <c:v>2.1984221435495593E-2</c:v>
                </c:pt>
                <c:pt idx="32">
                  <c:v>2.3205006831574712E-2</c:v>
                </c:pt>
                <c:pt idx="33">
                  <c:v>2.1596923732384501E-2</c:v>
                </c:pt>
                <c:pt idx="34">
                  <c:v>2.2350835962576289E-2</c:v>
                </c:pt>
                <c:pt idx="35">
                  <c:v>2.3861676615019551E-2</c:v>
                </c:pt>
                <c:pt idx="36">
                  <c:v>2.3087068532383508E-2</c:v>
                </c:pt>
                <c:pt idx="37">
                  <c:v>2.3139800195035771E-2</c:v>
                </c:pt>
                <c:pt idx="38">
                  <c:v>2.3402918953505311E-2</c:v>
                </c:pt>
                <c:pt idx="39">
                  <c:v>2.4736923302581051E-2</c:v>
                </c:pt>
                <c:pt idx="40">
                  <c:v>2.5646912762990196E-2</c:v>
                </c:pt>
                <c:pt idx="41">
                  <c:v>2.4309378074883786E-2</c:v>
                </c:pt>
                <c:pt idx="42">
                  <c:v>2.4191018892461238E-2</c:v>
                </c:pt>
                <c:pt idx="43">
                  <c:v>2.4288542705006529E-2</c:v>
                </c:pt>
                <c:pt idx="44">
                  <c:v>2.3894301464913198E-2</c:v>
                </c:pt>
                <c:pt idx="45">
                  <c:v>2.3930653345365708E-2</c:v>
                </c:pt>
                <c:pt idx="46">
                  <c:v>2.3205583263088417E-2</c:v>
                </c:pt>
                <c:pt idx="47">
                  <c:v>2.2794897808031025E-2</c:v>
                </c:pt>
                <c:pt idx="48">
                  <c:v>2.2074004398574602E-2</c:v>
                </c:pt>
                <c:pt idx="49">
                  <c:v>2.1693571120747115E-2</c:v>
                </c:pt>
                <c:pt idx="50">
                  <c:v>2.1202757977049336E-2</c:v>
                </c:pt>
                <c:pt idx="51">
                  <c:v>2.0771613424326443E-2</c:v>
                </c:pt>
                <c:pt idx="52">
                  <c:v>2.0478527703928308E-2</c:v>
                </c:pt>
                <c:pt idx="53" formatCode="0.0">
                  <c:v>2.0478527703928308E-2</c:v>
                </c:pt>
                <c:pt idx="54" formatCode="0.0">
                  <c:v>2.0478527703928308E-2</c:v>
                </c:pt>
                <c:pt idx="55" formatCode="0.0">
                  <c:v>2.0478527703928308E-2</c:v>
                </c:pt>
                <c:pt idx="56" formatCode="0.0">
                  <c:v>2.0478527703928308E-2</c:v>
                </c:pt>
                <c:pt idx="57" formatCode="0.0">
                  <c:v>2.0478527703928308E-2</c:v>
                </c:pt>
                <c:pt idx="58" formatCode="0.0">
                  <c:v>2.0478527703928308E-2</c:v>
                </c:pt>
                <c:pt idx="59" formatCode="0.0">
                  <c:v>2.0478527703928308E-2</c:v>
                </c:pt>
                <c:pt idx="60" formatCode="0.0">
                  <c:v>2.0478527703928308E-2</c:v>
                </c:pt>
                <c:pt idx="61" formatCode="0.0">
                  <c:v>2.0478527703928308E-2</c:v>
                </c:pt>
                <c:pt idx="62" formatCode="0.0">
                  <c:v>2.0478527703928308E-2</c:v>
                </c:pt>
                <c:pt idx="63" formatCode="0.0">
                  <c:v>2.0478527703928308E-2</c:v>
                </c:pt>
                <c:pt idx="64" formatCode="0.0">
                  <c:v>2.0478527703928308E-2</c:v>
                </c:pt>
                <c:pt idx="65" formatCode="0.0">
                  <c:v>2.0478527703928308E-2</c:v>
                </c:pt>
                <c:pt idx="66" formatCode="0.0">
                  <c:v>2.0478527703928308E-2</c:v>
                </c:pt>
                <c:pt idx="67" formatCode="0.0">
                  <c:v>2.0478527703928308E-2</c:v>
                </c:pt>
                <c:pt idx="68" formatCode="0.0">
                  <c:v>2.0478527703928308E-2</c:v>
                </c:pt>
                <c:pt idx="69" formatCode="0.0">
                  <c:v>2.0478527703928308E-2</c:v>
                </c:pt>
                <c:pt idx="70" formatCode="0.0">
                  <c:v>2.0478527703928308E-2</c:v>
                </c:pt>
                <c:pt idx="71" formatCode="0.0">
                  <c:v>2.0478527703928308E-2</c:v>
                </c:pt>
                <c:pt idx="72" formatCode="0.0">
                  <c:v>2.0478527703928308E-2</c:v>
                </c:pt>
                <c:pt idx="73" formatCode="0.0">
                  <c:v>2.0478527703928308E-2</c:v>
                </c:pt>
                <c:pt idx="74" formatCode="0.0">
                  <c:v>2.0478527703928308E-2</c:v>
                </c:pt>
                <c:pt idx="75" formatCode="0.0">
                  <c:v>2.0478527703928308E-2</c:v>
                </c:pt>
                <c:pt idx="76" formatCode="0.0">
                  <c:v>2.0478527703928308E-2</c:v>
                </c:pt>
                <c:pt idx="77" formatCode="0.0">
                  <c:v>2.0478527703928308E-2</c:v>
                </c:pt>
                <c:pt idx="78" formatCode="0.0">
                  <c:v>2.0478527703928308E-2</c:v>
                </c:pt>
                <c:pt idx="79" formatCode="0.0">
                  <c:v>2.0478527703928308E-2</c:v>
                </c:pt>
                <c:pt idx="80" formatCode="0.0">
                  <c:v>2.0478527703928308E-2</c:v>
                </c:pt>
                <c:pt idx="81" formatCode="0.0">
                  <c:v>2.0478527703928308E-2</c:v>
                </c:pt>
                <c:pt idx="82" formatCode="0.0">
                  <c:v>2.0478527703928308E-2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'Scenario 69-19%'!$R$8:$R$130</c15:f>
                <c15:dlblRangeCache>
                  <c:ptCount val="123"/>
                  <c:pt idx="42">
                    <c:v>6%</c:v>
                  </c:pt>
                  <c:pt idx="47">
                    <c:v>11%</c:v>
                  </c:pt>
                  <c:pt idx="52">
                    <c:v>20%</c:v>
                  </c:pt>
                  <c:pt idx="62">
                    <c:v>20%</c:v>
                  </c:pt>
                  <c:pt idx="72">
                    <c:v>20%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FB-348E-4E65-B421-1ECDEB0DE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97024"/>
        <c:axId val="102579932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'Scenario 69-19%'!$C$7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'Scenario 69-19%'!$B$8:$B$90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'Scenario 69-19%'!$C$8:$C$90</c15:sqref>
                        </c15:formulaRef>
                      </c:ext>
                    </c:extLst>
                    <c:numCache>
                      <c:formatCode>0.0</c:formatCode>
                      <c:ptCount val="83"/>
                      <c:pt idx="12">
                        <c:v>37.503901917692637</c:v>
                      </c:pt>
                      <c:pt idx="13">
                        <c:v>38.099012193795097</c:v>
                      </c:pt>
                      <c:pt idx="14">
                        <c:v>37.716183401651868</c:v>
                      </c:pt>
                      <c:pt idx="15">
                        <c:v>37.813894147276059</c:v>
                      </c:pt>
                      <c:pt idx="16">
                        <c:v>39.097461645272396</c:v>
                      </c:pt>
                      <c:pt idx="17">
                        <c:v>41.117756580617204</c:v>
                      </c:pt>
                      <c:pt idx="18">
                        <c:v>42.401848154429679</c:v>
                      </c:pt>
                      <c:pt idx="19">
                        <c:v>43.245116683187582</c:v>
                      </c:pt>
                      <c:pt idx="20">
                        <c:v>44.87012369632712</c:v>
                      </c:pt>
                      <c:pt idx="21">
                        <c:v>46.906820617827236</c:v>
                      </c:pt>
                      <c:pt idx="22">
                        <c:v>51.264446064409647</c:v>
                      </c:pt>
                      <c:pt idx="23">
                        <c:v>54.663990010623849</c:v>
                      </c:pt>
                      <c:pt idx="24">
                        <c:v>53.050683185293025</c:v>
                      </c:pt>
                      <c:pt idx="25">
                        <c:v>52.911204011821269</c:v>
                      </c:pt>
                      <c:pt idx="26">
                        <c:v>51.897755100973896</c:v>
                      </c:pt>
                      <c:pt idx="27">
                        <c:v>54.59560870610084</c:v>
                      </c:pt>
                      <c:pt idx="28">
                        <c:v>54.461539202046147</c:v>
                      </c:pt>
                      <c:pt idx="29">
                        <c:v>53.746045769965306</c:v>
                      </c:pt>
                      <c:pt idx="30">
                        <c:v>52.68158170157681</c:v>
                      </c:pt>
                      <c:pt idx="31">
                        <c:v>47.163320009204178</c:v>
                      </c:pt>
                      <c:pt idx="32">
                        <c:v>48.004538579802293</c:v>
                      </c:pt>
                      <c:pt idx="33">
                        <c:v>43.82620233701207</c:v>
                      </c:pt>
                      <c:pt idx="34">
                        <c:v>43.046736237018365</c:v>
                      </c:pt>
                      <c:pt idx="35">
                        <c:v>42.143034779693046</c:v>
                      </c:pt>
                      <c:pt idx="36">
                        <c:v>43.002058721298987</c:v>
                      </c:pt>
                      <c:pt idx="37">
                        <c:v>44.636500221951238</c:v>
                      </c:pt>
                      <c:pt idx="38">
                        <c:v>45.653374656401347</c:v>
                      </c:pt>
                      <c:pt idx="39">
                        <c:v>45.728105317317954</c:v>
                      </c:pt>
                      <c:pt idx="40">
                        <c:v>44.05311996590261</c:v>
                      </c:pt>
                      <c:pt idx="41">
                        <c:v>41.81151164486662</c:v>
                      </c:pt>
                      <c:pt idx="42">
                        <c:v>41.81151164486662</c:v>
                      </c:pt>
                      <c:pt idx="43">
                        <c:v>41.81151164486662</c:v>
                      </c:pt>
                      <c:pt idx="44">
                        <c:v>38.683173372040308</c:v>
                      </c:pt>
                      <c:pt idx="45">
                        <c:v>35.554835099213996</c:v>
                      </c:pt>
                      <c:pt idx="46">
                        <c:v>32.426496826387684</c:v>
                      </c:pt>
                      <c:pt idx="47">
                        <c:v>29.298158553561372</c:v>
                      </c:pt>
                      <c:pt idx="48">
                        <c:v>26.16982028073506</c:v>
                      </c:pt>
                      <c:pt idx="49">
                        <c:v>23.041482007908748</c:v>
                      </c:pt>
                      <c:pt idx="50">
                        <c:v>19.913143735082436</c:v>
                      </c:pt>
                      <c:pt idx="51">
                        <c:v>16.784805462256124</c:v>
                      </c:pt>
                      <c:pt idx="52">
                        <c:v>13.656467189429812</c:v>
                      </c:pt>
                      <c:pt idx="53">
                        <c:v>12.973643829958322</c:v>
                      </c:pt>
                      <c:pt idx="54">
                        <c:v>12.290820470486832</c:v>
                      </c:pt>
                      <c:pt idx="55">
                        <c:v>11.607997111015342</c:v>
                      </c:pt>
                      <c:pt idx="56">
                        <c:v>10.925173751543852</c:v>
                      </c:pt>
                      <c:pt idx="57">
                        <c:v>10.242350392072362</c:v>
                      </c:pt>
                      <c:pt idx="58">
                        <c:v>9.5595270326008723</c:v>
                      </c:pt>
                      <c:pt idx="59">
                        <c:v>8.8767036731293825</c:v>
                      </c:pt>
                      <c:pt idx="60">
                        <c:v>8.1938803136578926</c:v>
                      </c:pt>
                      <c:pt idx="61">
                        <c:v>7.5110569541864018</c:v>
                      </c:pt>
                      <c:pt idx="62">
                        <c:v>6.8282335947149111</c:v>
                      </c:pt>
                      <c:pt idx="63">
                        <c:v>6.1454102352434203</c:v>
                      </c:pt>
                      <c:pt idx="64">
                        <c:v>5.4625868757719296</c:v>
                      </c:pt>
                      <c:pt idx="65">
                        <c:v>4.7797635163004388</c:v>
                      </c:pt>
                      <c:pt idx="66">
                        <c:v>4.0969401568289481</c:v>
                      </c:pt>
                      <c:pt idx="67">
                        <c:v>3.4141167973574573</c:v>
                      </c:pt>
                      <c:pt idx="68">
                        <c:v>2.7312934378859666</c:v>
                      </c:pt>
                      <c:pt idx="69">
                        <c:v>2.0484700784144758</c:v>
                      </c:pt>
                      <c:pt idx="70">
                        <c:v>1.3656467189429853</c:v>
                      </c:pt>
                      <c:pt idx="71">
                        <c:v>0.68282335947149475</c:v>
                      </c:pt>
                      <c:pt idx="72">
                        <c:v>4.2188474935755949E-15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FC-348E-4E65-B421-1ECDEB0DE95E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69-19%'!$D$7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69-19%'!$B$8:$B$90</c15:sqref>
                        </c15:formulaRef>
                      </c:ext>
                    </c:extLst>
                    <c:numCache>
                      <c:formatCode>General</c:formatCode>
                      <c:ptCount val="83"/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  <c:pt idx="68">
                        <c:v>2046</c:v>
                      </c:pt>
                      <c:pt idx="69">
                        <c:v>2047</c:v>
                      </c:pt>
                      <c:pt idx="70">
                        <c:v>2048</c:v>
                      </c:pt>
                      <c:pt idx="71">
                        <c:v>2049</c:v>
                      </c:pt>
                      <c:pt idx="72">
                        <c:v>2050</c:v>
                      </c:pt>
                      <c:pt idx="73">
                        <c:v>2051</c:v>
                      </c:pt>
                      <c:pt idx="74">
                        <c:v>2052</c:v>
                      </c:pt>
                      <c:pt idx="75">
                        <c:v>2053</c:v>
                      </c:pt>
                      <c:pt idx="76">
                        <c:v>2054</c:v>
                      </c:pt>
                      <c:pt idx="77">
                        <c:v>2055</c:v>
                      </c:pt>
                      <c:pt idx="78">
                        <c:v>2056</c:v>
                      </c:pt>
                      <c:pt idx="79">
                        <c:v>2057</c:v>
                      </c:pt>
                      <c:pt idx="80">
                        <c:v>2058</c:v>
                      </c:pt>
                      <c:pt idx="81">
                        <c:v>2059</c:v>
                      </c:pt>
                      <c:pt idx="82">
                        <c:v>2060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'Scenario 69-19%'!$D$8:$D$90</c15:sqref>
                        </c15:formulaRef>
                      </c:ext>
                    </c:extLst>
                    <c:numCache>
                      <c:formatCode>0.00</c:formatCode>
                      <c:ptCount val="83"/>
                      <c:pt idx="12">
                        <c:v>0.56846617435307711</c:v>
                      </c:pt>
                      <c:pt idx="13">
                        <c:v>0.57899497527056076</c:v>
                      </c:pt>
                      <c:pt idx="14">
                        <c:v>0.58638316837148285</c:v>
                      </c:pt>
                      <c:pt idx="15">
                        <c:v>0.59483377727766906</c:v>
                      </c:pt>
                      <c:pt idx="16">
                        <c:v>0.59526602098909942</c:v>
                      </c:pt>
                      <c:pt idx="17">
                        <c:v>0.60059169683666336</c:v>
                      </c:pt>
                      <c:pt idx="18">
                        <c:v>0.61511089079967096</c:v>
                      </c:pt>
                      <c:pt idx="19">
                        <c:v>0.61488733682276098</c:v>
                      </c:pt>
                      <c:pt idx="20">
                        <c:v>0.62689098869315008</c:v>
                      </c:pt>
                      <c:pt idx="21">
                        <c:v>0.60985790475145341</c:v>
                      </c:pt>
                      <c:pt idx="22">
                        <c:v>0.59281659514673379</c:v>
                      </c:pt>
                      <c:pt idx="23">
                        <c:v>0.60653930034350212</c:v>
                      </c:pt>
                      <c:pt idx="24">
                        <c:v>0.59584131612224078</c:v>
                      </c:pt>
                      <c:pt idx="25">
                        <c:v>0.6315771849487738</c:v>
                      </c:pt>
                      <c:pt idx="26">
                        <c:v>0.58670195261344882</c:v>
                      </c:pt>
                      <c:pt idx="27">
                        <c:v>0.57896199008081672</c:v>
                      </c:pt>
                      <c:pt idx="28">
                        <c:v>0.58365900940295345</c:v>
                      </c:pt>
                      <c:pt idx="29">
                        <c:v>0.54949163157015002</c:v>
                      </c:pt>
                      <c:pt idx="30">
                        <c:v>0.54327868568762094</c:v>
                      </c:pt>
                      <c:pt idx="31">
                        <c:v>0.52849395261365861</c:v>
                      </c:pt>
                      <c:pt idx="32">
                        <c:v>0.53088913019285489</c:v>
                      </c:pt>
                      <c:pt idx="33">
                        <c:v>0.52067847685625956</c:v>
                      </c:pt>
                      <c:pt idx="34">
                        <c:v>0.54122860081163016</c:v>
                      </c:pt>
                      <c:pt idx="35">
                        <c:v>0.55563293823158555</c:v>
                      </c:pt>
                      <c:pt idx="36">
                        <c:v>0.56469371673730473</c:v>
                      </c:pt>
                      <c:pt idx="37">
                        <c:v>0.57912274054536717</c:v>
                      </c:pt>
                      <c:pt idx="38">
                        <c:v>0.59326897730059025</c:v>
                      </c:pt>
                      <c:pt idx="39">
                        <c:v>0.62003341514735055</c:v>
                      </c:pt>
                      <c:pt idx="40" formatCode="0.0">
                        <c:v>0.62362502085979499</c:v>
                      </c:pt>
                      <c:pt idx="41">
                        <c:v>0.60727248931136102</c:v>
                      </c:pt>
                      <c:pt idx="42">
                        <c:v>0.60563517202162709</c:v>
                      </c:pt>
                      <c:pt idx="43">
                        <c:v>0.60698426400733474</c:v>
                      </c:pt>
                      <c:pt idx="44">
                        <c:v>0.59576548747047564</c:v>
                      </c:pt>
                      <c:pt idx="45">
                        <c:v>0.59050330463999468</c:v>
                      </c:pt>
                      <c:pt idx="46">
                        <c:v>0.57470801978190822</c:v>
                      </c:pt>
                      <c:pt idx="47">
                        <c:v>0.56326176281703599</c:v>
                      </c:pt>
                      <c:pt idx="48">
                        <c:v>0.54752425580502107</c:v>
                      </c:pt>
                      <c:pt idx="49">
                        <c:v>0.53649649119382015</c:v>
                      </c:pt>
                      <c:pt idx="50">
                        <c:v>0.5239417908677142</c:v>
                      </c:pt>
                      <c:pt idx="51">
                        <c:v>0.51221251374627752</c:v>
                      </c:pt>
                      <c:pt idx="52">
                        <c:v>0.50239306827912533</c:v>
                      </c:pt>
                      <c:pt idx="53">
                        <c:v>0.50239306827912533</c:v>
                      </c:pt>
                      <c:pt idx="54">
                        <c:v>0.50239306827912533</c:v>
                      </c:pt>
                      <c:pt idx="55">
                        <c:v>0.50239306827912533</c:v>
                      </c:pt>
                      <c:pt idx="56">
                        <c:v>0.50239306827912533</c:v>
                      </c:pt>
                      <c:pt idx="57">
                        <c:v>0.50239306827912533</c:v>
                      </c:pt>
                      <c:pt idx="58">
                        <c:v>0.50239306827912533</c:v>
                      </c:pt>
                      <c:pt idx="59">
                        <c:v>0.50239306827912533</c:v>
                      </c:pt>
                      <c:pt idx="60">
                        <c:v>0.50239306827912533</c:v>
                      </c:pt>
                      <c:pt idx="61">
                        <c:v>0.50239306827912533</c:v>
                      </c:pt>
                      <c:pt idx="62">
                        <c:v>0.50239306827912533</c:v>
                      </c:pt>
                      <c:pt idx="63">
                        <c:v>0.50239306827912533</c:v>
                      </c:pt>
                      <c:pt idx="64">
                        <c:v>0.50239306827912533</c:v>
                      </c:pt>
                      <c:pt idx="65">
                        <c:v>0.50239306827912533</c:v>
                      </c:pt>
                      <c:pt idx="66">
                        <c:v>0.50239306827912533</c:v>
                      </c:pt>
                      <c:pt idx="67">
                        <c:v>0.50239306827912533</c:v>
                      </c:pt>
                      <c:pt idx="68">
                        <c:v>0.50239306827912533</c:v>
                      </c:pt>
                      <c:pt idx="69">
                        <c:v>0.50239306827912533</c:v>
                      </c:pt>
                      <c:pt idx="70">
                        <c:v>0.50239306827912533</c:v>
                      </c:pt>
                      <c:pt idx="71">
                        <c:v>0.50239306827912533</c:v>
                      </c:pt>
                      <c:pt idx="72">
                        <c:v>0.50239306827912533</c:v>
                      </c:pt>
                      <c:pt idx="73">
                        <c:v>0.50239306827912533</c:v>
                      </c:pt>
                      <c:pt idx="74">
                        <c:v>0.50239306827912533</c:v>
                      </c:pt>
                      <c:pt idx="75">
                        <c:v>0.50239306827912533</c:v>
                      </c:pt>
                      <c:pt idx="76">
                        <c:v>0.50239306827912533</c:v>
                      </c:pt>
                      <c:pt idx="77">
                        <c:v>0.50239306827912533</c:v>
                      </c:pt>
                      <c:pt idx="78">
                        <c:v>0.50239306827912533</c:v>
                      </c:pt>
                      <c:pt idx="79">
                        <c:v>0.50239306827912533</c:v>
                      </c:pt>
                      <c:pt idx="80">
                        <c:v>0.50239306827912533</c:v>
                      </c:pt>
                      <c:pt idx="81">
                        <c:v>0.50239306827912533</c:v>
                      </c:pt>
                      <c:pt idx="82">
                        <c:v>0.50239306827912533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FD-348E-4E65-B421-1ECDEB0DE95E}"/>
                  </c:ext>
                </c:extLst>
              </c15:ser>
            </c15:filteredScatterSeries>
          </c:ext>
        </c:extLst>
      </c:scatterChart>
      <c:valAx>
        <c:axId val="1025797024"/>
        <c:scaling>
          <c:orientation val="minMax"/>
          <c:max val="2050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9320"/>
        <c:crosses val="autoZero"/>
        <c:crossBetween val="midCat"/>
      </c:valAx>
      <c:valAx>
        <c:axId val="1025799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emissions (Mt)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9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'CO2 1990-2019'!$B$154</c:f>
              <c:strCache>
                <c:ptCount val="1"/>
                <c:pt idx="0">
                  <c:v>CO2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'CO2 1990-2019'!$C$144:$AG$144</c:f>
              <c:numCache>
                <c:formatCode>0</c:formatCode>
                <c:ptCount val="31"/>
                <c:pt idx="0">
                  <c:v>1990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'CO2 1990-2019'!$C$154:$AG$154</c:f>
              <c:numCache>
                <c:formatCode>0.0%</c:formatCode>
                <c:ptCount val="31"/>
                <c:pt idx="0">
                  <c:v>0.87536307969365945</c:v>
                </c:pt>
                <c:pt idx="1">
                  <c:v>0.87536307969365945</c:v>
                </c:pt>
                <c:pt idx="2">
                  <c:v>0.87371512392423012</c:v>
                </c:pt>
                <c:pt idx="3">
                  <c:v>0.8800163062100067</c:v>
                </c:pt>
                <c:pt idx="4">
                  <c:v>0.85981669067751088</c:v>
                </c:pt>
                <c:pt idx="5">
                  <c:v>0.86619425002836181</c:v>
                </c:pt>
                <c:pt idx="6">
                  <c:v>0.88035083180430618</c:v>
                </c:pt>
                <c:pt idx="7">
                  <c:v>0.86434435863591275</c:v>
                </c:pt>
                <c:pt idx="8">
                  <c:v>0.86084808490481657</c:v>
                </c:pt>
                <c:pt idx="9">
                  <c:v>0.86191144261279695</c:v>
                </c:pt>
                <c:pt idx="10">
                  <c:v>0.87251214987234871</c:v>
                </c:pt>
                <c:pt idx="11">
                  <c:v>0.88724705938764892</c:v>
                </c:pt>
                <c:pt idx="12">
                  <c:v>0.86660665424417072</c:v>
                </c:pt>
                <c:pt idx="13">
                  <c:v>0.90481147228361258</c:v>
                </c:pt>
                <c:pt idx="14">
                  <c:v>0.8709641270312094</c:v>
                </c:pt>
                <c:pt idx="15">
                  <c:v>0.86119222167848375</c:v>
                </c:pt>
                <c:pt idx="16">
                  <c:v>0.87278746714227173</c:v>
                </c:pt>
                <c:pt idx="17">
                  <c:v>0.8831261544826573</c:v>
                </c:pt>
                <c:pt idx="18">
                  <c:v>0.87012101909664608</c:v>
                </c:pt>
                <c:pt idx="19">
                  <c:v>0.84997187935776652</c:v>
                </c:pt>
                <c:pt idx="20">
                  <c:v>0.83705121844745267</c:v>
                </c:pt>
                <c:pt idx="21">
                  <c:v>0.81007123410699522</c:v>
                </c:pt>
                <c:pt idx="22">
                  <c:v>0.83342323143287389</c:v>
                </c:pt>
                <c:pt idx="23">
                  <c:v>0.82668180006531189</c:v>
                </c:pt>
                <c:pt idx="24">
                  <c:v>0.80604161749852898</c:v>
                </c:pt>
                <c:pt idx="25">
                  <c:v>0.81598684148612799</c:v>
                </c:pt>
                <c:pt idx="26">
                  <c:v>0.84405154308359054</c:v>
                </c:pt>
                <c:pt idx="27">
                  <c:v>0.83725715965665293</c:v>
                </c:pt>
                <c:pt idx="28">
                  <c:v>0.82085999424328271</c:v>
                </c:pt>
                <c:pt idx="29">
                  <c:v>0.81735866105559651</c:v>
                </c:pt>
                <c:pt idx="30">
                  <c:v>0.81349283043331833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30-4419-84A4-D75BFAB0E9C4}"/>
            </c:ext>
          </c:extLst>
        </c:ser>
        <c:ser>
          <c:idx val="1"/>
          <c:order val="1"/>
          <c:tx>
            <c:strRef>
              <c:f>'CO2 1990-2019'!$B$155</c:f>
              <c:strCache>
                <c:ptCount val="1"/>
                <c:pt idx="0">
                  <c:v>CH4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'CO2 1990-2019'!$C$144:$AG$144</c:f>
              <c:numCache>
                <c:formatCode>0</c:formatCode>
                <c:ptCount val="31"/>
                <c:pt idx="0">
                  <c:v>1990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'CO2 1990-2019'!$C$155:$AG$155</c:f>
              <c:numCache>
                <c:formatCode>0.0%</c:formatCode>
                <c:ptCount val="31"/>
                <c:pt idx="0">
                  <c:v>9.9562694872017701E-2</c:v>
                </c:pt>
                <c:pt idx="1">
                  <c:v>9.9562694872017701E-2</c:v>
                </c:pt>
                <c:pt idx="2">
                  <c:v>9.6867760593090629E-2</c:v>
                </c:pt>
                <c:pt idx="3">
                  <c:v>9.5505814339395742E-2</c:v>
                </c:pt>
                <c:pt idx="4">
                  <c:v>0.11261225243089255</c:v>
                </c:pt>
                <c:pt idx="5">
                  <c:v>0.10503280804996785</c:v>
                </c:pt>
                <c:pt idx="6">
                  <c:v>8.9636351402491793E-2</c:v>
                </c:pt>
                <c:pt idx="7">
                  <c:v>0.10447290414223355</c:v>
                </c:pt>
                <c:pt idx="8">
                  <c:v>0.10017008497768916</c:v>
                </c:pt>
                <c:pt idx="9">
                  <c:v>9.9219103605429501E-2</c:v>
                </c:pt>
                <c:pt idx="10">
                  <c:v>9.1078019787580636E-2</c:v>
                </c:pt>
                <c:pt idx="11">
                  <c:v>8.2096991256824292E-2</c:v>
                </c:pt>
                <c:pt idx="12">
                  <c:v>9.9529363834203174E-2</c:v>
                </c:pt>
                <c:pt idx="13">
                  <c:v>6.127891013931628E-2</c:v>
                </c:pt>
                <c:pt idx="14">
                  <c:v>9.0174746162884151E-2</c:v>
                </c:pt>
                <c:pt idx="15">
                  <c:v>9.4702224362661444E-2</c:v>
                </c:pt>
                <c:pt idx="16">
                  <c:v>8.4708864446901899E-2</c:v>
                </c:pt>
                <c:pt idx="17">
                  <c:v>7.5824188986146457E-2</c:v>
                </c:pt>
                <c:pt idx="18">
                  <c:v>8.2760909690394319E-2</c:v>
                </c:pt>
                <c:pt idx="19">
                  <c:v>9.0234576626286617E-2</c:v>
                </c:pt>
                <c:pt idx="20">
                  <c:v>9.4250247685416261E-2</c:v>
                </c:pt>
                <c:pt idx="21">
                  <c:v>0.12415794989727963</c:v>
                </c:pt>
                <c:pt idx="22">
                  <c:v>0.10042787453227554</c:v>
                </c:pt>
                <c:pt idx="23">
                  <c:v>9.4283168561591926E-2</c:v>
                </c:pt>
                <c:pt idx="24">
                  <c:v>0.11044532243325793</c:v>
                </c:pt>
                <c:pt idx="25">
                  <c:v>0.11381085024047309</c:v>
                </c:pt>
                <c:pt idx="26">
                  <c:v>8.8345287000965375E-2</c:v>
                </c:pt>
                <c:pt idx="27">
                  <c:v>9.1736256198868146E-2</c:v>
                </c:pt>
                <c:pt idx="28">
                  <c:v>0.11608571968853118</c:v>
                </c:pt>
                <c:pt idx="29">
                  <c:v>0.10748286295212703</c:v>
                </c:pt>
                <c:pt idx="30">
                  <c:v>0.10702974803073723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30-4419-84A4-D75BFAB0E9C4}"/>
            </c:ext>
          </c:extLst>
        </c:ser>
        <c:ser>
          <c:idx val="2"/>
          <c:order val="2"/>
          <c:tx>
            <c:strRef>
              <c:f>'CO2 1990-2019'!$B$156</c:f>
              <c:strCache>
                <c:ptCount val="1"/>
                <c:pt idx="0">
                  <c:v>N20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'CO2 1990-2019'!$C$144:$AG$144</c:f>
              <c:numCache>
                <c:formatCode>0</c:formatCode>
                <c:ptCount val="31"/>
                <c:pt idx="0">
                  <c:v>1990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'CO2 1990-2019'!$C$156:$AG$156</c:f>
              <c:numCache>
                <c:formatCode>0.0%</c:formatCode>
                <c:ptCount val="31"/>
                <c:pt idx="0">
                  <c:v>2.5074225434322635E-2</c:v>
                </c:pt>
                <c:pt idx="1">
                  <c:v>2.5074225434322635E-2</c:v>
                </c:pt>
                <c:pt idx="2">
                  <c:v>2.9417115482679394E-2</c:v>
                </c:pt>
                <c:pt idx="3">
                  <c:v>2.4477879450597536E-2</c:v>
                </c:pt>
                <c:pt idx="4">
                  <c:v>2.7571056891596519E-2</c:v>
                </c:pt>
                <c:pt idx="5">
                  <c:v>2.8772941921670309E-2</c:v>
                </c:pt>
                <c:pt idx="6">
                  <c:v>3.0012816793201971E-2</c:v>
                </c:pt>
                <c:pt idx="7">
                  <c:v>3.1182737221853708E-2</c:v>
                </c:pt>
                <c:pt idx="8">
                  <c:v>3.898183011749437E-2</c:v>
                </c:pt>
                <c:pt idx="9">
                  <c:v>3.8869453781773457E-2</c:v>
                </c:pt>
                <c:pt idx="10">
                  <c:v>3.6409830340070677E-2</c:v>
                </c:pt>
                <c:pt idx="11">
                  <c:v>3.0655949355526794E-2</c:v>
                </c:pt>
                <c:pt idx="12">
                  <c:v>3.386398192162602E-2</c:v>
                </c:pt>
                <c:pt idx="13">
                  <c:v>3.3909617577071172E-2</c:v>
                </c:pt>
                <c:pt idx="14">
                  <c:v>3.8861126805906435E-2</c:v>
                </c:pt>
                <c:pt idx="15">
                  <c:v>4.4105553958854911E-2</c:v>
                </c:pt>
                <c:pt idx="16">
                  <c:v>4.2503668410826423E-2</c:v>
                </c:pt>
                <c:pt idx="17">
                  <c:v>4.1049656531196244E-2</c:v>
                </c:pt>
                <c:pt idx="18">
                  <c:v>4.7118071212959557E-2</c:v>
                </c:pt>
                <c:pt idx="19">
                  <c:v>5.9793544015946942E-2</c:v>
                </c:pt>
                <c:pt idx="20">
                  <c:v>6.8698533867131137E-2</c:v>
                </c:pt>
                <c:pt idx="21">
                  <c:v>6.577081599572511E-2</c:v>
                </c:pt>
                <c:pt idx="22">
                  <c:v>6.6148894034850567E-2</c:v>
                </c:pt>
                <c:pt idx="23">
                  <c:v>7.9035031373096198E-2</c:v>
                </c:pt>
                <c:pt idx="24">
                  <c:v>8.351306006821313E-2</c:v>
                </c:pt>
                <c:pt idx="25">
                  <c:v>7.0202308273398892E-2</c:v>
                </c:pt>
                <c:pt idx="26">
                  <c:v>6.760316991544417E-2</c:v>
                </c:pt>
                <c:pt idx="27">
                  <c:v>7.1006584144478954E-2</c:v>
                </c:pt>
                <c:pt idx="28">
                  <c:v>6.3054286068186208E-2</c:v>
                </c:pt>
                <c:pt idx="29">
                  <c:v>7.5158475992276499E-2</c:v>
                </c:pt>
                <c:pt idx="30">
                  <c:v>7.9477421535944476E-2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30-4419-84A4-D75BFAB0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827343"/>
        <c:axId val="937561663"/>
      </c:scatterChart>
      <c:valAx>
        <c:axId val="1180827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561663"/>
        <c:crosses val="autoZero"/>
        <c:crossBetween val="midCat"/>
      </c:valAx>
      <c:valAx>
        <c:axId val="93756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8273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Cumulative</a:t>
            </a:r>
            <a:r>
              <a:rPr lang="en-IE" baseline="0"/>
              <a:t> Emissions</a:t>
            </a: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4"/>
          <c:tx>
            <c:strRef>
              <c:f>GasesSummary!$N$62</c:f>
              <c:strCache>
                <c:ptCount val="1"/>
                <c:pt idx="0">
                  <c:v>N2O E57%A40%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GasesSummary!$N$63:$N$95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19.024975379240345</c:v>
                </c:pt>
                <c:pt idx="5">
                  <c:v>25.058401851181038</c:v>
                </c:pt>
                <c:pt idx="6">
                  <c:v>30.745586419027642</c:v>
                </c:pt>
                <c:pt idx="7">
                  <c:v>36.16984100899343</c:v>
                </c:pt>
                <c:pt idx="8">
                  <c:v>41.24896051316265</c:v>
                </c:pt>
                <c:pt idx="9">
                  <c:v>46.073166866416983</c:v>
                </c:pt>
                <c:pt idx="10">
                  <c:v>50.61320940430079</c:v>
                </c:pt>
                <c:pt idx="11">
                  <c:v>54.88490030342242</c:v>
                </c:pt>
                <c:pt idx="12">
                  <c:v>58.924825154347936</c:v>
                </c:pt>
                <c:pt idx="13">
                  <c:v>62.964750005273451</c:v>
                </c:pt>
                <c:pt idx="14">
                  <c:v>67.004674856198974</c:v>
                </c:pt>
                <c:pt idx="15">
                  <c:v>71.04459970712449</c:v>
                </c:pt>
                <c:pt idx="16">
                  <c:v>75.084524558050006</c:v>
                </c:pt>
                <c:pt idx="17">
                  <c:v>79.124449408975522</c:v>
                </c:pt>
                <c:pt idx="18">
                  <c:v>83.164374259901038</c:v>
                </c:pt>
                <c:pt idx="19">
                  <c:v>87.204299110826554</c:v>
                </c:pt>
                <c:pt idx="20">
                  <c:v>91.24422396175207</c:v>
                </c:pt>
                <c:pt idx="21">
                  <c:v>95.284148812677586</c:v>
                </c:pt>
                <c:pt idx="22">
                  <c:v>99.324073663603102</c:v>
                </c:pt>
                <c:pt idx="23">
                  <c:v>103.36399851452862</c:v>
                </c:pt>
                <c:pt idx="24">
                  <c:v>107.40392336545413</c:v>
                </c:pt>
                <c:pt idx="25">
                  <c:v>111.44384821637965</c:v>
                </c:pt>
                <c:pt idx="26">
                  <c:v>115.48377306730517</c:v>
                </c:pt>
                <c:pt idx="27">
                  <c:v>119.52369791823068</c:v>
                </c:pt>
                <c:pt idx="28">
                  <c:v>123.5636227691562</c:v>
                </c:pt>
                <c:pt idx="29">
                  <c:v>127.60354762008171</c:v>
                </c:pt>
                <c:pt idx="30">
                  <c:v>131.64347247100724</c:v>
                </c:pt>
                <c:pt idx="31">
                  <c:v>135.68339732193277</c:v>
                </c:pt>
                <c:pt idx="32">
                  <c:v>139.7233221728583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587-4C18-BD0B-495908D78E94}"/>
            </c:ext>
          </c:extLst>
        </c:ser>
        <c:ser>
          <c:idx val="8"/>
          <c:order val="8"/>
          <c:tx>
            <c:strRef>
              <c:f>GasesSummary!$R$62</c:f>
              <c:strCache>
                <c:ptCount val="1"/>
                <c:pt idx="0">
                  <c:v>Removals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GasesSummary!$R$63:$R$95</c:f>
              <c:numCache>
                <c:formatCode>0.0</c:formatCode>
                <c:ptCount val="3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-0.20199624254627588</c:v>
                </c:pt>
                <c:pt idx="14">
                  <c:v>-0.60598872763882761</c:v>
                </c:pt>
                <c:pt idx="15">
                  <c:v>-1.2119774552776552</c:v>
                </c:pt>
                <c:pt idx="16">
                  <c:v>-2.0199624254627588</c:v>
                </c:pt>
                <c:pt idx="17">
                  <c:v>-3.0299436381941383</c:v>
                </c:pt>
                <c:pt idx="18">
                  <c:v>-4.2419210934717935</c:v>
                </c:pt>
                <c:pt idx="19">
                  <c:v>-5.655894791295724</c:v>
                </c:pt>
                <c:pt idx="20">
                  <c:v>-7.2718647316659304</c:v>
                </c:pt>
                <c:pt idx="21">
                  <c:v>-9.0898309145824125</c:v>
                </c:pt>
                <c:pt idx="22">
                  <c:v>-11.10979334004517</c:v>
                </c:pt>
                <c:pt idx="23">
                  <c:v>-13.331752008054204</c:v>
                </c:pt>
                <c:pt idx="24">
                  <c:v>-15.755706918609514</c:v>
                </c:pt>
                <c:pt idx="25">
                  <c:v>-18.381658071711101</c:v>
                </c:pt>
                <c:pt idx="26">
                  <c:v>-21.209605467358962</c:v>
                </c:pt>
                <c:pt idx="27">
                  <c:v>-24.239549105553099</c:v>
                </c:pt>
                <c:pt idx="28">
                  <c:v>-27.471488986293512</c:v>
                </c:pt>
                <c:pt idx="29">
                  <c:v>-30.9054251095802</c:v>
                </c:pt>
                <c:pt idx="30">
                  <c:v>-34.541357475413164</c:v>
                </c:pt>
                <c:pt idx="31">
                  <c:v>-38.379286083792408</c:v>
                </c:pt>
                <c:pt idx="32">
                  <c:v>-42.419210934717924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1587-4C18-BD0B-495908D78E94}"/>
            </c:ext>
          </c:extLst>
        </c:ser>
        <c:ser>
          <c:idx val="14"/>
          <c:order val="14"/>
          <c:tx>
            <c:strRef>
              <c:f>GasesSummary!$X$62</c:f>
              <c:strCache>
                <c:ptCount val="1"/>
                <c:pt idx="0">
                  <c:v>N2O E51%A0%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GasesSummary!$X$63:$X$95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18.946134372021895</c:v>
                </c:pt>
                <c:pt idx="5">
                  <c:v>24.821878829525687</c:v>
                </c:pt>
                <c:pt idx="6">
                  <c:v>30.272540375716936</c:v>
                </c:pt>
                <c:pt idx="7">
                  <c:v>35.381430936808911</c:v>
                </c:pt>
                <c:pt idx="8">
                  <c:v>40.06634540488588</c:v>
                </c:pt>
                <c:pt idx="9">
                  <c:v>44.417505714829502</c:v>
                </c:pt>
                <c:pt idx="10">
                  <c:v>48.405661202184149</c:v>
                </c:pt>
                <c:pt idx="11">
                  <c:v>52.046624043558168</c:v>
                </c:pt>
                <c:pt idx="12">
                  <c:v>55.376979829517623</c:v>
                </c:pt>
                <c:pt idx="13">
                  <c:v>58.707335615477078</c:v>
                </c:pt>
                <c:pt idx="14">
                  <c:v>62.037691401436533</c:v>
                </c:pt>
                <c:pt idx="15">
                  <c:v>65.368047187395987</c:v>
                </c:pt>
                <c:pt idx="16">
                  <c:v>68.698402973355442</c:v>
                </c:pt>
                <c:pt idx="17">
                  <c:v>72.028758759314897</c:v>
                </c:pt>
                <c:pt idx="18">
                  <c:v>75.359114545274352</c:v>
                </c:pt>
                <c:pt idx="19">
                  <c:v>78.689470331233807</c:v>
                </c:pt>
                <c:pt idx="20">
                  <c:v>82.019826117193261</c:v>
                </c:pt>
                <c:pt idx="21">
                  <c:v>85.350181903152716</c:v>
                </c:pt>
                <c:pt idx="22">
                  <c:v>88.680537689112171</c:v>
                </c:pt>
                <c:pt idx="23">
                  <c:v>92.010893475071626</c:v>
                </c:pt>
                <c:pt idx="24">
                  <c:v>95.341249261031081</c:v>
                </c:pt>
                <c:pt idx="25">
                  <c:v>98.671605046990535</c:v>
                </c:pt>
                <c:pt idx="26">
                  <c:v>102.00196083294999</c:v>
                </c:pt>
                <c:pt idx="27">
                  <c:v>105.33231661890945</c:v>
                </c:pt>
                <c:pt idx="28">
                  <c:v>108.6626724048689</c:v>
                </c:pt>
                <c:pt idx="29">
                  <c:v>111.99302819082835</c:v>
                </c:pt>
                <c:pt idx="30">
                  <c:v>115.32338397678781</c:v>
                </c:pt>
                <c:pt idx="31">
                  <c:v>118.65373976274726</c:v>
                </c:pt>
                <c:pt idx="32">
                  <c:v>121.98409554870672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587-4C18-BD0B-495908D78E94}"/>
            </c:ext>
          </c:extLst>
        </c:ser>
        <c:ser>
          <c:idx val="18"/>
          <c:order val="18"/>
          <c:tx>
            <c:strRef>
              <c:f>GasesSummary!$AB$62</c:f>
              <c:strCache>
                <c:ptCount val="1"/>
                <c:pt idx="0">
                  <c:v>Removals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GasesSummary!$AB$63:$AB$95</c:f>
              <c:numCache>
                <c:formatCode>0.0</c:formatCode>
                <c:ptCount val="3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-0.16651778929797273</c:v>
                </c:pt>
                <c:pt idx="14">
                  <c:v>-0.49955336789391819</c:v>
                </c:pt>
                <c:pt idx="15">
                  <c:v>-0.99910673578783638</c:v>
                </c:pt>
                <c:pt idx="16">
                  <c:v>-1.6651778929797274</c:v>
                </c:pt>
                <c:pt idx="17">
                  <c:v>-2.4977668394695911</c:v>
                </c:pt>
                <c:pt idx="18">
                  <c:v>-3.4968735752574274</c:v>
                </c:pt>
                <c:pt idx="19">
                  <c:v>-4.6624981003432371</c:v>
                </c:pt>
                <c:pt idx="20">
                  <c:v>-5.9946404147270194</c:v>
                </c:pt>
                <c:pt idx="21">
                  <c:v>-7.4933005184087742</c:v>
                </c:pt>
                <c:pt idx="22">
                  <c:v>-9.1584784113885025</c:v>
                </c:pt>
                <c:pt idx="23">
                  <c:v>-10.990174093666203</c:v>
                </c:pt>
                <c:pt idx="24">
                  <c:v>-12.988387565241876</c:v>
                </c:pt>
                <c:pt idx="25">
                  <c:v>-15.153118826115522</c:v>
                </c:pt>
                <c:pt idx="26">
                  <c:v>-17.484367876287141</c:v>
                </c:pt>
                <c:pt idx="27">
                  <c:v>-19.982134715756732</c:v>
                </c:pt>
                <c:pt idx="28">
                  <c:v>-22.646419344524297</c:v>
                </c:pt>
                <c:pt idx="29">
                  <c:v>-25.477221762589835</c:v>
                </c:pt>
                <c:pt idx="30">
                  <c:v>-28.474541969953343</c:v>
                </c:pt>
                <c:pt idx="31">
                  <c:v>-31.638379966614824</c:v>
                </c:pt>
                <c:pt idx="32">
                  <c:v>-34.968735752574275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6-1587-4C18-BD0B-495908D78E94}"/>
            </c:ext>
          </c:extLst>
        </c:ser>
        <c:ser>
          <c:idx val="24"/>
          <c:order val="24"/>
          <c:tx>
            <c:strRef>
              <c:f>GasesSummary!$AH$62</c:f>
              <c:strCache>
                <c:ptCount val="1"/>
                <c:pt idx="0">
                  <c:v>N2O E61%A33%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GasesSummary!$AH$63:$AH$95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19.075146929288451</c:v>
                </c:pt>
                <c:pt idx="5">
                  <c:v>25.208916501325355</c:v>
                </c:pt>
                <c:pt idx="6">
                  <c:v>31.046615719316275</c:v>
                </c:pt>
                <c:pt idx="7">
                  <c:v>36.671556509474485</c:v>
                </c:pt>
                <c:pt idx="8">
                  <c:v>42.001533763884233</c:v>
                </c:pt>
                <c:pt idx="9">
                  <c:v>47.126769417427198</c:v>
                </c:pt>
                <c:pt idx="10">
                  <c:v>52.018012805647743</c:v>
                </c:pt>
                <c:pt idx="11">
                  <c:v>56.691076105154217</c:v>
                </c:pt>
                <c:pt idx="12">
                  <c:v>61.182544906512682</c:v>
                </c:pt>
                <c:pt idx="13">
                  <c:v>65.674013707871154</c:v>
                </c:pt>
                <c:pt idx="14">
                  <c:v>70.165482509229619</c:v>
                </c:pt>
                <c:pt idx="15">
                  <c:v>74.656951310588084</c:v>
                </c:pt>
                <c:pt idx="16">
                  <c:v>79.14842011194655</c:v>
                </c:pt>
                <c:pt idx="17">
                  <c:v>83.639888913305015</c:v>
                </c:pt>
                <c:pt idx="18">
                  <c:v>88.13135771466348</c:v>
                </c:pt>
                <c:pt idx="19">
                  <c:v>92.622826516021945</c:v>
                </c:pt>
                <c:pt idx="20">
                  <c:v>97.11429531738041</c:v>
                </c:pt>
                <c:pt idx="21">
                  <c:v>101.60576411873888</c:v>
                </c:pt>
                <c:pt idx="22">
                  <c:v>106.09723292009734</c:v>
                </c:pt>
                <c:pt idx="23">
                  <c:v>110.58870172145581</c:v>
                </c:pt>
                <c:pt idx="24">
                  <c:v>115.08017052281427</c:v>
                </c:pt>
                <c:pt idx="25">
                  <c:v>119.57163932417274</c:v>
                </c:pt>
                <c:pt idx="26">
                  <c:v>124.0631081255312</c:v>
                </c:pt>
                <c:pt idx="27">
                  <c:v>128.55457692688967</c:v>
                </c:pt>
                <c:pt idx="28">
                  <c:v>133.04604572824815</c:v>
                </c:pt>
                <c:pt idx="29">
                  <c:v>137.53751452960663</c:v>
                </c:pt>
                <c:pt idx="30">
                  <c:v>142.0289833309651</c:v>
                </c:pt>
                <c:pt idx="31">
                  <c:v>146.52045213232358</c:v>
                </c:pt>
                <c:pt idx="32">
                  <c:v>151.01192093368206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587-4C18-BD0B-495908D78E94}"/>
            </c:ext>
          </c:extLst>
        </c:ser>
        <c:ser>
          <c:idx val="28"/>
          <c:order val="28"/>
          <c:tx>
            <c:strRef>
              <c:f>GasesSummary!$AL$62</c:f>
              <c:strCache>
                <c:ptCount val="1"/>
                <c:pt idx="0">
                  <c:v>Removals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GasesSummary!$AL$63:$AL$95</c:f>
              <c:numCache>
                <c:formatCode>0.0</c:formatCode>
                <c:ptCount val="3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-0.22457344006792335</c:v>
                </c:pt>
                <c:pt idx="14">
                  <c:v>-0.67372032020377004</c:v>
                </c:pt>
                <c:pt idx="15">
                  <c:v>-1.3474406404075401</c:v>
                </c:pt>
                <c:pt idx="16">
                  <c:v>-2.2457344006792335</c:v>
                </c:pt>
                <c:pt idx="17">
                  <c:v>-3.3686016010188502</c:v>
                </c:pt>
                <c:pt idx="18">
                  <c:v>-4.7160422414263898</c:v>
                </c:pt>
                <c:pt idx="19">
                  <c:v>-6.2880563219018537</c:v>
                </c:pt>
                <c:pt idx="20">
                  <c:v>-8.0846438424452405</c:v>
                </c:pt>
                <c:pt idx="21">
                  <c:v>-10.10580480305655</c:v>
                </c:pt>
                <c:pt idx="22">
                  <c:v>-12.351539203735783</c:v>
                </c:pt>
                <c:pt idx="23">
                  <c:v>-14.82184704448294</c:v>
                </c:pt>
                <c:pt idx="24">
                  <c:v>-17.516728325298018</c:v>
                </c:pt>
                <c:pt idx="25">
                  <c:v>-20.436183046181021</c:v>
                </c:pt>
                <c:pt idx="26">
                  <c:v>-23.580211207131949</c:v>
                </c:pt>
                <c:pt idx="27">
                  <c:v>-26.948812808150798</c:v>
                </c:pt>
                <c:pt idx="28">
                  <c:v>-30.541987849237572</c:v>
                </c:pt>
                <c:pt idx="29">
                  <c:v>-34.359736330392266</c:v>
                </c:pt>
                <c:pt idx="30">
                  <c:v>-38.402058251614889</c:v>
                </c:pt>
                <c:pt idx="31">
                  <c:v>-42.668953612905433</c:v>
                </c:pt>
                <c:pt idx="32">
                  <c:v>-47.160422414263898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F-1587-4C18-BD0B-495908D78E94}"/>
            </c:ext>
          </c:extLst>
        </c:ser>
        <c:ser>
          <c:idx val="34"/>
          <c:order val="34"/>
          <c:tx>
            <c:strRef>
              <c:f>GasesSummary!$AR$62</c:f>
              <c:strCache>
                <c:ptCount val="1"/>
                <c:pt idx="0">
                  <c:v>N2O E65%A26%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GasesSummary!$AR$63:$AR$95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19.125318479336556</c:v>
                </c:pt>
                <c:pt idx="5">
                  <c:v>25.359431151469671</c:v>
                </c:pt>
                <c:pt idx="6">
                  <c:v>31.347645019604908</c:v>
                </c:pt>
                <c:pt idx="7">
                  <c:v>37.173272009955539</c:v>
                </c:pt>
                <c:pt idx="8">
                  <c:v>42.754107014605815</c:v>
                </c:pt>
                <c:pt idx="9">
                  <c:v>48.180371968437413</c:v>
                </c:pt>
                <c:pt idx="10">
                  <c:v>53.422816206994696</c:v>
                </c:pt>
                <c:pt idx="11">
                  <c:v>58.497251906886021</c:v>
                </c:pt>
                <c:pt idx="12">
                  <c:v>63.440264658677435</c:v>
                </c:pt>
                <c:pt idx="13">
                  <c:v>68.38327741046885</c:v>
                </c:pt>
                <c:pt idx="14">
                  <c:v>73.326290162260264</c:v>
                </c:pt>
                <c:pt idx="15">
                  <c:v>78.269302914051678</c:v>
                </c:pt>
                <c:pt idx="16">
                  <c:v>83.212315665843093</c:v>
                </c:pt>
                <c:pt idx="17">
                  <c:v>88.155328417634507</c:v>
                </c:pt>
                <c:pt idx="18">
                  <c:v>93.098341169425922</c:v>
                </c:pt>
                <c:pt idx="19">
                  <c:v>98.041353921217336</c:v>
                </c:pt>
                <c:pt idx="20">
                  <c:v>102.98436667300875</c:v>
                </c:pt>
                <c:pt idx="21">
                  <c:v>107.92737942480016</c:v>
                </c:pt>
                <c:pt idx="22">
                  <c:v>112.87039217659158</c:v>
                </c:pt>
                <c:pt idx="23">
                  <c:v>117.81340492838299</c:v>
                </c:pt>
                <c:pt idx="24">
                  <c:v>122.75641768017441</c:v>
                </c:pt>
                <c:pt idx="25">
                  <c:v>127.69943043196582</c:v>
                </c:pt>
                <c:pt idx="26">
                  <c:v>132.64244318375725</c:v>
                </c:pt>
                <c:pt idx="27">
                  <c:v>137.58545593554868</c:v>
                </c:pt>
                <c:pt idx="28">
                  <c:v>142.52846868734011</c:v>
                </c:pt>
                <c:pt idx="29">
                  <c:v>147.47148143913154</c:v>
                </c:pt>
                <c:pt idx="30">
                  <c:v>152.41449419092297</c:v>
                </c:pt>
                <c:pt idx="31">
                  <c:v>157.35750694271439</c:v>
                </c:pt>
                <c:pt idx="32">
                  <c:v>162.30051969450582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1587-4C18-BD0B-495908D78E94}"/>
            </c:ext>
          </c:extLst>
        </c:ser>
        <c:ser>
          <c:idx val="38"/>
          <c:order val="38"/>
          <c:tx>
            <c:strRef>
              <c:f>GasesSummary!$AV$62</c:f>
              <c:strCache>
                <c:ptCount val="1"/>
                <c:pt idx="0">
                  <c:v>Removals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GasesSummary!$AV$63:$AV$95</c:f>
              <c:numCache>
                <c:formatCode>0.0</c:formatCode>
                <c:ptCount val="3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-0.24715063758957084</c:v>
                </c:pt>
                <c:pt idx="14">
                  <c:v>-0.74145191276871247</c:v>
                </c:pt>
                <c:pt idx="15">
                  <c:v>-1.4829038255374249</c:v>
                </c:pt>
                <c:pt idx="16">
                  <c:v>-2.4715063758957081</c:v>
                </c:pt>
                <c:pt idx="17">
                  <c:v>-3.7072595638435626</c:v>
                </c:pt>
                <c:pt idx="18">
                  <c:v>-5.190163389380988</c:v>
                </c:pt>
                <c:pt idx="19">
                  <c:v>-6.9202178525079843</c:v>
                </c:pt>
                <c:pt idx="20">
                  <c:v>-8.8974229532245506</c:v>
                </c:pt>
                <c:pt idx="21">
                  <c:v>-11.121778691530688</c:v>
                </c:pt>
                <c:pt idx="22">
                  <c:v>-13.593285067426397</c:v>
                </c:pt>
                <c:pt idx="23">
                  <c:v>-16.311942080911678</c:v>
                </c:pt>
                <c:pt idx="24">
                  <c:v>-19.277749731986528</c:v>
                </c:pt>
                <c:pt idx="25">
                  <c:v>-22.490708020650949</c:v>
                </c:pt>
                <c:pt idx="26">
                  <c:v>-25.95081694690494</c:v>
                </c:pt>
                <c:pt idx="27">
                  <c:v>-29.658076510748504</c:v>
                </c:pt>
                <c:pt idx="28">
                  <c:v>-33.612486712181635</c:v>
                </c:pt>
                <c:pt idx="29">
                  <c:v>-37.814047551204339</c:v>
                </c:pt>
                <c:pt idx="30">
                  <c:v>-42.262759027816614</c:v>
                </c:pt>
                <c:pt idx="31">
                  <c:v>-46.958621142018458</c:v>
                </c:pt>
                <c:pt idx="32">
                  <c:v>-51.901633893809873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587-4C18-BD0B-495908D78E94}"/>
            </c:ext>
          </c:extLst>
        </c:ser>
        <c:ser>
          <c:idx val="44"/>
          <c:order val="44"/>
          <c:tx>
            <c:strRef>
              <c:f>GasesSummary!$BB$62</c:f>
              <c:strCache>
                <c:ptCount val="1"/>
                <c:pt idx="0">
                  <c:v>N2O E19%A0%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GasesSummary!$BB$63:$BB$95</c:f>
              <c:numCache>
                <c:formatCode>0.0</c:formatCode>
                <c:ptCount val="33"/>
                <c:pt idx="2">
                  <c:v>6.4106200065022279</c:v>
                </c:pt>
                <c:pt idx="3">
                  <c:v>12.847083823328958</c:v>
                </c:pt>
                <c:pt idx="4">
                  <c:v>19.179073711530954</c:v>
                </c:pt>
                <c:pt idx="5">
                  <c:v>25.520696848052864</c:v>
                </c:pt>
                <c:pt idx="6">
                  <c:v>31.670176412771294</c:v>
                </c:pt>
                <c:pt idx="7">
                  <c:v>37.710824331899516</c:v>
                </c:pt>
                <c:pt idx="8">
                  <c:v>43.560435497521787</c:v>
                </c:pt>
                <c:pt idx="9">
                  <c:v>49.309231844519772</c:v>
                </c:pt>
                <c:pt idx="10">
                  <c:v>54.927962708437846</c:v>
                </c:pt>
                <c:pt idx="11">
                  <c:v>60.432440265884352</c:v>
                </c:pt>
                <c:pt idx="12">
                  <c:v>65.859250107425353</c:v>
                </c:pt>
                <c:pt idx="13">
                  <c:v>71.286059948966354</c:v>
                </c:pt>
                <c:pt idx="14">
                  <c:v>76.712869790507355</c:v>
                </c:pt>
                <c:pt idx="15">
                  <c:v>82.139679632048356</c:v>
                </c:pt>
                <c:pt idx="16">
                  <c:v>87.566489473589357</c:v>
                </c:pt>
                <c:pt idx="17">
                  <c:v>92.993299315130358</c:v>
                </c:pt>
                <c:pt idx="18">
                  <c:v>98.420109156671359</c:v>
                </c:pt>
                <c:pt idx="19">
                  <c:v>103.84691899821236</c:v>
                </c:pt>
                <c:pt idx="20">
                  <c:v>109.27372883975336</c:v>
                </c:pt>
                <c:pt idx="21">
                  <c:v>114.70053868129436</c:v>
                </c:pt>
                <c:pt idx="22">
                  <c:v>120.12734852283536</c:v>
                </c:pt>
                <c:pt idx="23">
                  <c:v>125.55415836437636</c:v>
                </c:pt>
                <c:pt idx="24">
                  <c:v>130.98096820591738</c:v>
                </c:pt>
                <c:pt idx="25">
                  <c:v>136.40777804745838</c:v>
                </c:pt>
                <c:pt idx="26">
                  <c:v>141.83458788899938</c:v>
                </c:pt>
                <c:pt idx="27">
                  <c:v>147.26139773054038</c:v>
                </c:pt>
                <c:pt idx="28">
                  <c:v>152.68820757208138</c:v>
                </c:pt>
                <c:pt idx="29">
                  <c:v>158.11501741362238</c:v>
                </c:pt>
                <c:pt idx="30">
                  <c:v>163.54182725516338</c:v>
                </c:pt>
                <c:pt idx="31">
                  <c:v>168.96863709670438</c:v>
                </c:pt>
                <c:pt idx="32">
                  <c:v>174.39544693824539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587-4C18-BD0B-495908D78E94}"/>
            </c:ext>
          </c:extLst>
        </c:ser>
        <c:ser>
          <c:idx val="48"/>
          <c:order val="48"/>
          <c:tx>
            <c:strRef>
              <c:f>GasesSummary!$BF$62</c:f>
              <c:strCache>
                <c:ptCount val="1"/>
                <c:pt idx="0">
                  <c:v>Removals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GasesSummary!$BF$63:$BF$95</c:f>
              <c:numCache>
                <c:formatCode>0.0</c:formatCode>
                <c:ptCount val="3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-0.27134049207705008</c:v>
                </c:pt>
                <c:pt idx="14">
                  <c:v>-0.81402147623115018</c:v>
                </c:pt>
                <c:pt idx="15">
                  <c:v>-1.6280429524623004</c:v>
                </c:pt>
                <c:pt idx="16">
                  <c:v>-2.7134049207705004</c:v>
                </c:pt>
                <c:pt idx="17">
                  <c:v>-4.0701073811557507</c:v>
                </c:pt>
                <c:pt idx="18">
                  <c:v>-5.6981503336180515</c:v>
                </c:pt>
                <c:pt idx="19">
                  <c:v>-7.5975337781574019</c:v>
                </c:pt>
                <c:pt idx="20">
                  <c:v>-9.768257714773803</c:v>
                </c:pt>
                <c:pt idx="21">
                  <c:v>-12.210322143467254</c:v>
                </c:pt>
                <c:pt idx="22">
                  <c:v>-14.923727064237754</c:v>
                </c:pt>
                <c:pt idx="23">
                  <c:v>-17.908472477085304</c:v>
                </c:pt>
                <c:pt idx="24">
                  <c:v>-21.164558382009904</c:v>
                </c:pt>
                <c:pt idx="25">
                  <c:v>-24.691984779011555</c:v>
                </c:pt>
                <c:pt idx="26">
                  <c:v>-28.490751668090258</c:v>
                </c:pt>
                <c:pt idx="27">
                  <c:v>-32.560859049246012</c:v>
                </c:pt>
                <c:pt idx="28">
                  <c:v>-36.902306922478814</c:v>
                </c:pt>
                <c:pt idx="29">
                  <c:v>-41.515095287788668</c:v>
                </c:pt>
                <c:pt idx="30">
                  <c:v>-46.399224145175566</c:v>
                </c:pt>
                <c:pt idx="31">
                  <c:v>-51.554693494639515</c:v>
                </c:pt>
                <c:pt idx="32">
                  <c:v>-56.981503336180516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1-1587-4C18-BD0B-495908D78E94}"/>
            </c:ext>
          </c:extLst>
        </c:ser>
        <c:ser>
          <c:idx val="54"/>
          <c:order val="54"/>
          <c:tx>
            <c:strRef>
              <c:f>GasesSummary!$BL$62</c:f>
              <c:strCache>
                <c:ptCount val="1"/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GasesSummary!$BL$63:$BL$95</c:f>
              <c:numCache>
                <c:formatCode>0.0</c:formatCode>
                <c:ptCount val="33"/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587-4C18-BD0B-495908D78E94}"/>
            </c:ext>
          </c:extLst>
        </c:ser>
        <c:ser>
          <c:idx val="58"/>
          <c:order val="58"/>
          <c:tx>
            <c:strRef>
              <c:f>GasesSummary!$BP$62</c:f>
              <c:strCache>
                <c:ptCount val="1"/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GasesSummary!$I$63:$I$95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  <c:extLst xmlns:c15="http://schemas.microsoft.com/office/drawing/2012/chart"/>
            </c:numRef>
          </c:xVal>
          <c:yVal>
            <c:numRef>
              <c:f>GasesSummary!$BP$63:$BP$95</c:f>
              <c:numCache>
                <c:formatCode>0.0</c:formatCode>
                <c:ptCount val="33"/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A-1587-4C18-BD0B-495908D78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120224"/>
        <c:axId val="63912678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GasesSummary!$J$62</c15:sqref>
                        </c15:formulaRef>
                      </c:ext>
                    </c:extLst>
                    <c:strCache>
                      <c:ptCount val="1"/>
                      <c:pt idx="0">
                        <c:v>CO2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GasesSummary!$J$63:$J$95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76.840409073445016</c:v>
                      </c:pt>
                      <c:pt idx="4">
                        <c:v>116.63153045787718</c:v>
                      </c:pt>
                      <c:pt idx="5">
                        <c:v>157.0998057921085</c:v>
                      </c:pt>
                      <c:pt idx="6">
                        <c:v>192.9685267779912</c:v>
                      </c:pt>
                      <c:pt idx="7">
                        <c:v>225.52496018553174</c:v>
                      </c:pt>
                      <c:pt idx="8">
                        <c:v>254.13399376024498</c:v>
                      </c:pt>
                      <c:pt idx="9">
                        <c:v>280.09845612316155</c:v>
                      </c:pt>
                      <c:pt idx="10">
                        <c:v>303.33091107763227</c:v>
                      </c:pt>
                      <c:pt idx="11">
                        <c:v>324.23368909839945</c:v>
                      </c:pt>
                      <c:pt idx="12">
                        <c:v>343.42470033402498</c:v>
                      </c:pt>
                      <c:pt idx="13">
                        <c:v>361.65616100786923</c:v>
                      </c:pt>
                      <c:pt idx="14">
                        <c:v>378.92807111993221</c:v>
                      </c:pt>
                      <c:pt idx="15">
                        <c:v>395.24043067021393</c:v>
                      </c:pt>
                      <c:pt idx="16">
                        <c:v>410.59323965871431</c:v>
                      </c:pt>
                      <c:pt idx="17">
                        <c:v>424.98649808543342</c:v>
                      </c:pt>
                      <c:pt idx="18">
                        <c:v>438.42020595037127</c:v>
                      </c:pt>
                      <c:pt idx="19">
                        <c:v>450.89436325352784</c:v>
                      </c:pt>
                      <c:pt idx="20">
                        <c:v>462.40896999490315</c:v>
                      </c:pt>
                      <c:pt idx="21">
                        <c:v>472.96402617449718</c:v>
                      </c:pt>
                      <c:pt idx="22">
                        <c:v>482.55953179230994</c:v>
                      </c:pt>
                      <c:pt idx="23">
                        <c:v>491.19548684834143</c:v>
                      </c:pt>
                      <c:pt idx="24">
                        <c:v>498.87189134259165</c:v>
                      </c:pt>
                      <c:pt idx="25">
                        <c:v>505.58874527506055</c:v>
                      </c:pt>
                      <c:pt idx="26">
                        <c:v>511.34604864574817</c:v>
                      </c:pt>
                      <c:pt idx="27">
                        <c:v>516.14380145465452</c:v>
                      </c:pt>
                      <c:pt idx="28">
                        <c:v>519.9820037017796</c:v>
                      </c:pt>
                      <c:pt idx="29">
                        <c:v>522.86065538712342</c:v>
                      </c:pt>
                      <c:pt idx="30">
                        <c:v>524.77975651068596</c:v>
                      </c:pt>
                      <c:pt idx="31">
                        <c:v>525.73930707246723</c:v>
                      </c:pt>
                      <c:pt idx="32">
                        <c:v>525.73930707246723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1587-4C18-BD0B-495908D78E94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GasesSummary!$K$62</c15:sqref>
                        </c15:formulaRef>
                      </c:ext>
                    </c:extLst>
                    <c:strCache>
                      <c:ptCount val="1"/>
                      <c:pt idx="0">
                        <c:v>CH4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GasesSummary!$K$63:$K$95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1.793918446691122</c:v>
                      </c:pt>
                      <c:pt idx="5">
                        <c:v>2.3554887977144854</c:v>
                      </c:pt>
                      <c:pt idx="6">
                        <c:v>2.8867973870714465</c:v>
                      </c:pt>
                      <c:pt idx="7">
                        <c:v>3.3921932426552197</c:v>
                      </c:pt>
                      <c:pt idx="8">
                        <c:v>3.8673851144186622</c:v>
                      </c:pt>
                      <c:pt idx="9">
                        <c:v>4.3170827447625886</c:v>
                      </c:pt>
                      <c:pt idx="10">
                        <c:v>4.7397591979720932</c:v>
                      </c:pt>
                      <c:pt idx="11">
                        <c:v>5.136239897251845</c:v>
                      </c:pt>
                      <c:pt idx="12">
                        <c:v>5.5084346742561294</c:v>
                      </c:pt>
                      <c:pt idx="13">
                        <c:v>5.8806294512604138</c:v>
                      </c:pt>
                      <c:pt idx="14">
                        <c:v>6.2528242282646982</c:v>
                      </c:pt>
                      <c:pt idx="15">
                        <c:v>6.6250190052689826</c:v>
                      </c:pt>
                      <c:pt idx="16">
                        <c:v>6.997213782273267</c:v>
                      </c:pt>
                      <c:pt idx="17">
                        <c:v>7.3694085592775513</c:v>
                      </c:pt>
                      <c:pt idx="18">
                        <c:v>7.7416033362818357</c:v>
                      </c:pt>
                      <c:pt idx="19">
                        <c:v>8.1137981132861192</c:v>
                      </c:pt>
                      <c:pt idx="20">
                        <c:v>8.4859928902904027</c:v>
                      </c:pt>
                      <c:pt idx="21">
                        <c:v>8.8581876672946862</c:v>
                      </c:pt>
                      <c:pt idx="22">
                        <c:v>9.2303824442989697</c:v>
                      </c:pt>
                      <c:pt idx="23">
                        <c:v>9.6025772213032532</c:v>
                      </c:pt>
                      <c:pt idx="24">
                        <c:v>9.9747719983075367</c:v>
                      </c:pt>
                      <c:pt idx="25">
                        <c:v>10.34696677531182</c:v>
                      </c:pt>
                      <c:pt idx="26">
                        <c:v>10.719161552316104</c:v>
                      </c:pt>
                      <c:pt idx="27">
                        <c:v>11.091356329320387</c:v>
                      </c:pt>
                      <c:pt idx="28">
                        <c:v>11.463551106324671</c:v>
                      </c:pt>
                      <c:pt idx="29">
                        <c:v>11.835745883328954</c:v>
                      </c:pt>
                      <c:pt idx="30">
                        <c:v>12.207940660333238</c:v>
                      </c:pt>
                      <c:pt idx="31">
                        <c:v>12.580135437337521</c:v>
                      </c:pt>
                      <c:pt idx="32">
                        <c:v>12.952330214341805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87-4C18-BD0B-495908D78E9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GasesSummary!$L$62</c15:sqref>
                        </c15:formulaRef>
                      </c:ext>
                    </c:extLst>
                    <c:strCache>
                      <c:ptCount val="1"/>
                      <c:pt idx="0">
                        <c:v>N2O E57%A40%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GasesSummary!$L$63:$L$95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7.1792359921661691E-2</c:v>
                      </c:pt>
                      <c:pt idx="5">
                        <c:v>9.4560006985588835E-2</c:v>
                      </c:pt>
                      <c:pt idx="6">
                        <c:v>0.11602108082651941</c:v>
                      </c:pt>
                      <c:pt idx="7">
                        <c:v>0.1364899660716733</c:v>
                      </c:pt>
                      <c:pt idx="8">
                        <c:v>0.15565645476665149</c:v>
                      </c:pt>
                      <c:pt idx="9">
                        <c:v>0.17386100704308294</c:v>
                      </c:pt>
                      <c:pt idx="10">
                        <c:v>0.19099324303509732</c:v>
                      </c:pt>
                      <c:pt idx="11">
                        <c:v>0.20711283133366953</c:v>
                      </c:pt>
                      <c:pt idx="12">
                        <c:v>0.22235783077112431</c:v>
                      </c:pt>
                      <c:pt idx="13">
                        <c:v>0.23760283020857909</c:v>
                      </c:pt>
                      <c:pt idx="14">
                        <c:v>0.25284782964603386</c:v>
                      </c:pt>
                      <c:pt idx="15">
                        <c:v>0.26809282908348864</c:v>
                      </c:pt>
                      <c:pt idx="16">
                        <c:v>0.28333782852094341</c:v>
                      </c:pt>
                      <c:pt idx="17">
                        <c:v>0.29858282795839819</c:v>
                      </c:pt>
                      <c:pt idx="18">
                        <c:v>0.31382782739585297</c:v>
                      </c:pt>
                      <c:pt idx="19">
                        <c:v>0.32907282683330774</c:v>
                      </c:pt>
                      <c:pt idx="20">
                        <c:v>0.34431782627076252</c:v>
                      </c:pt>
                      <c:pt idx="21">
                        <c:v>0.35956282570821729</c:v>
                      </c:pt>
                      <c:pt idx="22">
                        <c:v>0.37480782514567207</c:v>
                      </c:pt>
                      <c:pt idx="23">
                        <c:v>0.39005282458312684</c:v>
                      </c:pt>
                      <c:pt idx="24">
                        <c:v>0.40529782402058162</c:v>
                      </c:pt>
                      <c:pt idx="25">
                        <c:v>0.4205428234580364</c:v>
                      </c:pt>
                      <c:pt idx="26">
                        <c:v>0.43578782289549117</c:v>
                      </c:pt>
                      <c:pt idx="27">
                        <c:v>0.45103282233294595</c:v>
                      </c:pt>
                      <c:pt idx="28">
                        <c:v>0.46627782177040072</c:v>
                      </c:pt>
                      <c:pt idx="29">
                        <c:v>0.4815228212078555</c:v>
                      </c:pt>
                      <c:pt idx="30">
                        <c:v>0.49676782064531028</c:v>
                      </c:pt>
                      <c:pt idx="31">
                        <c:v>0.51201282008276505</c:v>
                      </c:pt>
                      <c:pt idx="32">
                        <c:v>0.52725781952021988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587-4C18-BD0B-495908D78E9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GasesSummary!$M$63:$M$95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50.229716507351412</c:v>
                      </c:pt>
                      <c:pt idx="5">
                        <c:v>65.953686336005589</c:v>
                      </c:pt>
                      <c:pt idx="6">
                        <c:v>80.830326838000502</c:v>
                      </c:pt>
                      <c:pt idx="7">
                        <c:v>94.981410794346147</c:v>
                      </c:pt>
                      <c:pt idx="8">
                        <c:v>108.28678320372254</c:v>
                      </c:pt>
                      <c:pt idx="9">
                        <c:v>120.87831685335246</c:v>
                      </c:pt>
                      <c:pt idx="10">
                        <c:v>132.71325754321859</c:v>
                      </c:pt>
                      <c:pt idx="11">
                        <c:v>143.81471712305165</c:v>
                      </c:pt>
                      <c:pt idx="12">
                        <c:v>154.2361708791716</c:v>
                      </c:pt>
                      <c:pt idx="13">
                        <c:v>164.65762463529154</c:v>
                      </c:pt>
                      <c:pt idx="14">
                        <c:v>175.07907839141149</c:v>
                      </c:pt>
                      <c:pt idx="15">
                        <c:v>185.50053214753143</c:v>
                      </c:pt>
                      <c:pt idx="16">
                        <c:v>195.92198590365138</c:v>
                      </c:pt>
                      <c:pt idx="17">
                        <c:v>206.34343965977132</c:v>
                      </c:pt>
                      <c:pt idx="18">
                        <c:v>216.76489341589127</c:v>
                      </c:pt>
                      <c:pt idx="19">
                        <c:v>227.18634717201121</c:v>
                      </c:pt>
                      <c:pt idx="20">
                        <c:v>237.60780092813116</c:v>
                      </c:pt>
                      <c:pt idx="21">
                        <c:v>248.0292546842511</c:v>
                      </c:pt>
                      <c:pt idx="22">
                        <c:v>258.45070844037105</c:v>
                      </c:pt>
                      <c:pt idx="23">
                        <c:v>268.87216219649099</c:v>
                      </c:pt>
                      <c:pt idx="24">
                        <c:v>279.29361595261093</c:v>
                      </c:pt>
                      <c:pt idx="25">
                        <c:v>289.71506970873088</c:v>
                      </c:pt>
                      <c:pt idx="26">
                        <c:v>300.13652346485082</c:v>
                      </c:pt>
                      <c:pt idx="27">
                        <c:v>310.55797722097077</c:v>
                      </c:pt>
                      <c:pt idx="28">
                        <c:v>320.97943097709071</c:v>
                      </c:pt>
                      <c:pt idx="29">
                        <c:v>331.40088473321066</c:v>
                      </c:pt>
                      <c:pt idx="30">
                        <c:v>341.8223384893306</c:v>
                      </c:pt>
                      <c:pt idx="31">
                        <c:v>352.24379224545055</c:v>
                      </c:pt>
                      <c:pt idx="32">
                        <c:v>362.66524600157049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587-4C18-BD0B-495908D78E9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GasesSummary!$O$62</c15:sqref>
                        </c15:formulaRef>
                      </c:ext>
                    </c:extLst>
                    <c:strCache>
                      <c:ptCount val="1"/>
                      <c:pt idx="0">
                        <c:v>GWP100 E57%-A40%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GasesSummary!$O$63:$O$95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123.64083710558491</c:v>
                      </c:pt>
                      <c:pt idx="4">
                        <c:v>185.88622234446893</c:v>
                      </c:pt>
                      <c:pt idx="5">
                        <c:v>248.11189397929513</c:v>
                      </c:pt>
                      <c:pt idx="6">
                        <c:v>304.54444003501936</c:v>
                      </c:pt>
                      <c:pt idx="7">
                        <c:v>356.67621198887133</c:v>
                      </c:pt>
                      <c:pt idx="8">
                        <c:v>403.66973747713018</c:v>
                      </c:pt>
                      <c:pt idx="9">
                        <c:v>447.04993984293105</c:v>
                      </c:pt>
                      <c:pt idx="10">
                        <c:v>486.65737802515167</c:v>
                      </c:pt>
                      <c:pt idx="11">
                        <c:v>522.93330652487361</c:v>
                      </c:pt>
                      <c:pt idx="12">
                        <c:v>556.58569636754464</c:v>
                      </c:pt>
                      <c:pt idx="13">
                        <c:v>589.07653940588807</c:v>
                      </c:pt>
                      <c:pt idx="14">
                        <c:v>620.4058356399039</c:v>
                      </c:pt>
                      <c:pt idx="15">
                        <c:v>650.57358506959224</c:v>
                      </c:pt>
                      <c:pt idx="16">
                        <c:v>679.57978769495298</c:v>
                      </c:pt>
                      <c:pt idx="17">
                        <c:v>707.42444351598624</c:v>
                      </c:pt>
                      <c:pt idx="18">
                        <c:v>734.1075525326919</c:v>
                      </c:pt>
                      <c:pt idx="19">
                        <c:v>759.62911474507007</c:v>
                      </c:pt>
                      <c:pt idx="20">
                        <c:v>783.98913015312064</c:v>
                      </c:pt>
                      <c:pt idx="21">
                        <c:v>807.18759875684361</c:v>
                      </c:pt>
                      <c:pt idx="22">
                        <c:v>829.2245205562391</c:v>
                      </c:pt>
                      <c:pt idx="23">
                        <c:v>850.09989555130699</c:v>
                      </c:pt>
                      <c:pt idx="24">
                        <c:v>869.81372374204739</c:v>
                      </c:pt>
                      <c:pt idx="25">
                        <c:v>888.36600512846019</c:v>
                      </c:pt>
                      <c:pt idx="26">
                        <c:v>905.75673971054539</c:v>
                      </c:pt>
                      <c:pt idx="27">
                        <c:v>921.9859274883031</c:v>
                      </c:pt>
                      <c:pt idx="28">
                        <c:v>937.05356846173322</c:v>
                      </c:pt>
                      <c:pt idx="29">
                        <c:v>950.95966263083585</c:v>
                      </c:pt>
                      <c:pt idx="30">
                        <c:v>963.70420999561088</c:v>
                      </c:pt>
                      <c:pt idx="31">
                        <c:v>975.28721055605843</c:v>
                      </c:pt>
                      <c:pt idx="32">
                        <c:v>985.70866431217837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587-4C18-BD0B-495908D78E94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GasesSummary!$P$63:$P$95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587-4C18-BD0B-495908D78E94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GasesSummary!$Q$63:$Q$95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587-4C18-BD0B-495908D78E94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5400" cap="rnd">
                    <a:solidFill>
                      <a:schemeClr val="accent4">
                        <a:lumMod val="6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GasesSummary!$S$63:$S$95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587-4C18-BD0B-495908D78E94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GasesSummary!$T$62</c15:sqref>
                        </c15:formulaRef>
                      </c:ext>
                    </c:extLst>
                    <c:strCache>
                      <c:ptCount val="1"/>
                      <c:pt idx="0">
                        <c:v>CO2 E51%A51%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GasesSummary!$T$63:$T$95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76.846034729541145</c:v>
                      </c:pt>
                      <c:pt idx="4">
                        <c:v>116.64840742616545</c:v>
                      </c:pt>
                      <c:pt idx="5">
                        <c:v>157.13355972868493</c:v>
                      </c:pt>
                      <c:pt idx="6">
                        <c:v>193.61564039147558</c:v>
                      </c:pt>
                      <c:pt idx="7">
                        <c:v>227.27484159512449</c:v>
                      </c:pt>
                      <c:pt idx="8">
                        <c:v>257.3855243868191</c:v>
                      </c:pt>
                      <c:pt idx="9">
                        <c:v>285.17069814820456</c:v>
                      </c:pt>
                      <c:pt idx="10">
                        <c:v>310.47478830754676</c:v>
                      </c:pt>
                      <c:pt idx="11">
                        <c:v>333.64269442344465</c:v>
                      </c:pt>
                      <c:pt idx="12">
                        <c:v>355.24170956582549</c:v>
                      </c:pt>
                      <c:pt idx="13">
                        <c:v>375.76077395108729</c:v>
                      </c:pt>
                      <c:pt idx="14">
                        <c:v>395.19988757923011</c:v>
                      </c:pt>
                      <c:pt idx="15">
                        <c:v>413.55905045025384</c:v>
                      </c:pt>
                      <c:pt idx="16">
                        <c:v>430.83826256415853</c:v>
                      </c:pt>
                      <c:pt idx="17">
                        <c:v>447.03752392094418</c:v>
                      </c:pt>
                      <c:pt idx="18">
                        <c:v>462.1568345206108</c:v>
                      </c:pt>
                      <c:pt idx="19">
                        <c:v>476.19619436315838</c:v>
                      </c:pt>
                      <c:pt idx="20">
                        <c:v>489.15560344858687</c:v>
                      </c:pt>
                      <c:pt idx="21">
                        <c:v>501.03506177689633</c:v>
                      </c:pt>
                      <c:pt idx="22">
                        <c:v>511.83456934808675</c:v>
                      </c:pt>
                      <c:pt idx="23">
                        <c:v>521.55412616215813</c:v>
                      </c:pt>
                      <c:pt idx="24">
                        <c:v>530.19373221911042</c:v>
                      </c:pt>
                      <c:pt idx="25">
                        <c:v>537.75338751894367</c:v>
                      </c:pt>
                      <c:pt idx="26">
                        <c:v>544.23309206165789</c:v>
                      </c:pt>
                      <c:pt idx="27">
                        <c:v>549.63284584725307</c:v>
                      </c:pt>
                      <c:pt idx="28">
                        <c:v>553.95264887572921</c:v>
                      </c:pt>
                      <c:pt idx="29">
                        <c:v>557.19250114708632</c:v>
                      </c:pt>
                      <c:pt idx="30">
                        <c:v>559.35240266132439</c:v>
                      </c:pt>
                      <c:pt idx="31">
                        <c:v>560.43235341844343</c:v>
                      </c:pt>
                      <c:pt idx="32">
                        <c:v>560.43235341844343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587-4C18-BD0B-495908D78E94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GasesSummary!$U$62</c15:sqref>
                        </c15:formulaRef>
                      </c:ext>
                    </c:extLst>
                    <c:strCache>
                      <c:ptCount val="1"/>
                      <c:pt idx="0">
                        <c:v>CH4 E51%A51%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GasesSummary!$U$63:$U$95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1.7865169934403557</c:v>
                      </c:pt>
                      <c:pt idx="5">
                        <c:v>2.3332844379621869</c:v>
                      </c:pt>
                      <c:pt idx="6">
                        <c:v>2.8423886675668495</c:v>
                      </c:pt>
                      <c:pt idx="7">
                        <c:v>3.3181787101475582</c:v>
                      </c:pt>
                      <c:pt idx="8">
                        <c:v>3.7563633156571701</c:v>
                      </c:pt>
                      <c:pt idx="9">
                        <c:v>4.161652226496499</c:v>
                      </c:pt>
                      <c:pt idx="10">
                        <c:v>4.5325185069506402</c:v>
                      </c:pt>
                      <c:pt idx="11">
                        <c:v>4.8697875802242629</c:v>
                      </c:pt>
                      <c:pt idx="12">
                        <c:v>5.1753692779716509</c:v>
                      </c:pt>
                      <c:pt idx="13">
                        <c:v>5.4809509757190398</c:v>
                      </c:pt>
                      <c:pt idx="14">
                        <c:v>5.7865326734664286</c:v>
                      </c:pt>
                      <c:pt idx="15">
                        <c:v>6.0921143712138175</c:v>
                      </c:pt>
                      <c:pt idx="16">
                        <c:v>6.3976960689612064</c:v>
                      </c:pt>
                      <c:pt idx="17">
                        <c:v>6.7032777667085952</c:v>
                      </c:pt>
                      <c:pt idx="18">
                        <c:v>7.0088594644559841</c:v>
                      </c:pt>
                      <c:pt idx="19">
                        <c:v>7.3144411622033729</c:v>
                      </c:pt>
                      <c:pt idx="20">
                        <c:v>7.6200228599507618</c:v>
                      </c:pt>
                      <c:pt idx="21">
                        <c:v>7.9256045576981506</c:v>
                      </c:pt>
                      <c:pt idx="22">
                        <c:v>8.2311862554455395</c:v>
                      </c:pt>
                      <c:pt idx="23">
                        <c:v>8.5367679531929284</c:v>
                      </c:pt>
                      <c:pt idx="24">
                        <c:v>8.8423496509403172</c:v>
                      </c:pt>
                      <c:pt idx="25">
                        <c:v>9.1479313486877061</c:v>
                      </c:pt>
                      <c:pt idx="26">
                        <c:v>9.4535130464350949</c:v>
                      </c:pt>
                      <c:pt idx="27">
                        <c:v>9.7590947441824838</c:v>
                      </c:pt>
                      <c:pt idx="28">
                        <c:v>10.064676441929873</c:v>
                      </c:pt>
                      <c:pt idx="29">
                        <c:v>10.370258139677262</c:v>
                      </c:pt>
                      <c:pt idx="30">
                        <c:v>10.67583983742465</c:v>
                      </c:pt>
                      <c:pt idx="31">
                        <c:v>10.981421535172039</c:v>
                      </c:pt>
                      <c:pt idx="32">
                        <c:v>11.287003232919428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587-4C18-BD0B-495908D78E94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GasesSummary!$V$62</c15:sqref>
                        </c15:formulaRef>
                      </c:ext>
                    </c:extLst>
                    <c:strCache>
                      <c:ptCount val="1"/>
                      <c:pt idx="0">
                        <c:v>N2O E51%A0%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GasesSummary!$V$63:$V$95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7.1494846686875071E-2</c:v>
                      </c:pt>
                      <c:pt idx="5">
                        <c:v>9.3667467281229003E-2</c:v>
                      </c:pt>
                      <c:pt idx="6">
                        <c:v>0.11423600141779974</c:v>
                      </c:pt>
                      <c:pt idx="7">
                        <c:v>0.13351483372380721</c:v>
                      </c:pt>
                      <c:pt idx="8">
                        <c:v>0.15119375624485237</c:v>
                      </c:pt>
                      <c:pt idx="9">
                        <c:v>0.16761322911256415</c:v>
                      </c:pt>
                      <c:pt idx="10">
                        <c:v>0.18266287246107227</c:v>
                      </c:pt>
                      <c:pt idx="11">
                        <c:v>0.1964023548813516</c:v>
                      </c:pt>
                      <c:pt idx="12">
                        <c:v>0.2089697352057269</c:v>
                      </c:pt>
                      <c:pt idx="13">
                        <c:v>0.22153711553010219</c:v>
                      </c:pt>
                      <c:pt idx="14">
                        <c:v>0.23410449585447748</c:v>
                      </c:pt>
                      <c:pt idx="15">
                        <c:v>0.24667187617885278</c:v>
                      </c:pt>
                      <c:pt idx="16">
                        <c:v>0.2592392565032281</c:v>
                      </c:pt>
                      <c:pt idx="17">
                        <c:v>0.27180663682760342</c:v>
                      </c:pt>
                      <c:pt idx="18">
                        <c:v>0.28437401715197874</c:v>
                      </c:pt>
                      <c:pt idx="19">
                        <c:v>0.29694139747635406</c:v>
                      </c:pt>
                      <c:pt idx="20">
                        <c:v>0.30950877780072938</c:v>
                      </c:pt>
                      <c:pt idx="21">
                        <c:v>0.32207615812510471</c:v>
                      </c:pt>
                      <c:pt idx="22">
                        <c:v>0.33464353844948003</c:v>
                      </c:pt>
                      <c:pt idx="23">
                        <c:v>0.34721091877385535</c:v>
                      </c:pt>
                      <c:pt idx="24">
                        <c:v>0.35977829909823067</c:v>
                      </c:pt>
                      <c:pt idx="25">
                        <c:v>0.37234567942260599</c:v>
                      </c:pt>
                      <c:pt idx="26">
                        <c:v>0.38491305974698131</c:v>
                      </c:pt>
                      <c:pt idx="27">
                        <c:v>0.39748044007135663</c:v>
                      </c:pt>
                      <c:pt idx="28">
                        <c:v>0.41004782039573195</c:v>
                      </c:pt>
                      <c:pt idx="29">
                        <c:v>0.42261520072010728</c:v>
                      </c:pt>
                      <c:pt idx="30">
                        <c:v>0.4351825810444826</c:v>
                      </c:pt>
                      <c:pt idx="31">
                        <c:v>0.44774996136885792</c:v>
                      </c:pt>
                      <c:pt idx="32">
                        <c:v>0.46031734169323324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587-4C18-BD0B-495908D78E94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GasesSummary!$W$63:$W$95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50.022475816329958</c:v>
                      </c:pt>
                      <c:pt idx="5">
                        <c:v>65.331964262941227</c:v>
                      </c:pt>
                      <c:pt idx="6">
                        <c:v>79.586882691871779</c:v>
                      </c:pt>
                      <c:pt idx="7">
                        <c:v>92.909003884131621</c:v>
                      </c:pt>
                      <c:pt idx="8">
                        <c:v>105.17817283840074</c:v>
                      </c:pt>
                      <c:pt idx="9">
                        <c:v>116.52626234190195</c:v>
                      </c:pt>
                      <c:pt idx="10">
                        <c:v>126.91051819461791</c:v>
                      </c:pt>
                      <c:pt idx="11">
                        <c:v>136.35405224627934</c:v>
                      </c:pt>
                      <c:pt idx="12">
                        <c:v>144.91033978320621</c:v>
                      </c:pt>
                      <c:pt idx="13">
                        <c:v>153.46662732013309</c:v>
                      </c:pt>
                      <c:pt idx="14">
                        <c:v>162.02291485705996</c:v>
                      </c:pt>
                      <c:pt idx="15">
                        <c:v>170.57920239398683</c:v>
                      </c:pt>
                      <c:pt idx="16">
                        <c:v>179.13548993091371</c:v>
                      </c:pt>
                      <c:pt idx="17">
                        <c:v>187.69177746784058</c:v>
                      </c:pt>
                      <c:pt idx="18">
                        <c:v>196.24806500476745</c:v>
                      </c:pt>
                      <c:pt idx="19">
                        <c:v>204.80435254169433</c:v>
                      </c:pt>
                      <c:pt idx="20">
                        <c:v>213.3606400786212</c:v>
                      </c:pt>
                      <c:pt idx="21">
                        <c:v>221.91692761554808</c:v>
                      </c:pt>
                      <c:pt idx="22">
                        <c:v>230.47321515247495</c:v>
                      </c:pt>
                      <c:pt idx="23">
                        <c:v>239.02950268940182</c:v>
                      </c:pt>
                      <c:pt idx="24">
                        <c:v>247.5857902263287</c:v>
                      </c:pt>
                      <c:pt idx="25">
                        <c:v>256.1420777632556</c:v>
                      </c:pt>
                      <c:pt idx="26">
                        <c:v>264.6983653001825</c:v>
                      </c:pt>
                      <c:pt idx="27">
                        <c:v>273.2546528371094</c:v>
                      </c:pt>
                      <c:pt idx="28">
                        <c:v>281.81094037403631</c:v>
                      </c:pt>
                      <c:pt idx="29">
                        <c:v>290.36722791096321</c:v>
                      </c:pt>
                      <c:pt idx="30">
                        <c:v>298.92351544789011</c:v>
                      </c:pt>
                      <c:pt idx="31">
                        <c:v>307.47980298481701</c:v>
                      </c:pt>
                      <c:pt idx="32">
                        <c:v>316.03609052174392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587-4C18-BD0B-495908D78E94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GasesSummary!$Y$62</c15:sqref>
                        </c15:formulaRef>
                      </c:ext>
                    </c:extLst>
                    <c:strCache>
                      <c:ptCount val="1"/>
                      <c:pt idx="0">
                        <c:v>GWP100 E51%-A51%</c:v>
                      </c:pt>
                    </c:strCache>
                  </c:strRef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GasesSummary!$Y$63:$Y$95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123.64646276168102</c:v>
                      </c:pt>
                      <c:pt idx="4">
                        <c:v>185.61701761451729</c:v>
                      </c:pt>
                      <c:pt idx="5">
                        <c:v>247.28740282115183</c:v>
                      </c:pt>
                      <c:pt idx="6">
                        <c:v>303.4750634590643</c:v>
                      </c:pt>
                      <c:pt idx="7">
                        <c:v>355.56527641606499</c:v>
                      </c:pt>
                      <c:pt idx="8">
                        <c:v>402.63004263010566</c:v>
                      </c:pt>
                      <c:pt idx="9">
                        <c:v>446.11446620493598</c:v>
                      </c:pt>
                      <c:pt idx="10">
                        <c:v>485.79096770434876</c:v>
                      </c:pt>
                      <c:pt idx="11">
                        <c:v>522.04337071328212</c:v>
                      </c:pt>
                      <c:pt idx="12">
                        <c:v>555.52902917854931</c:v>
                      </c:pt>
                      <c:pt idx="13">
                        <c:v>587.76821909739942</c:v>
                      </c:pt>
                      <c:pt idx="14">
                        <c:v>618.76094046983258</c:v>
                      </c:pt>
                      <c:pt idx="15">
                        <c:v>648.50719329584877</c:v>
                      </c:pt>
                      <c:pt idx="16">
                        <c:v>677.00697757544788</c:v>
                      </c:pt>
                      <c:pt idx="17">
                        <c:v>704.26029330863003</c:v>
                      </c:pt>
                      <c:pt idx="18">
                        <c:v>730.2671404953951</c:v>
                      </c:pt>
                      <c:pt idx="19">
                        <c:v>755.0275191357432</c:v>
                      </c:pt>
                      <c:pt idx="20">
                        <c:v>778.54142922967424</c:v>
                      </c:pt>
                      <c:pt idx="21">
                        <c:v>800.8088707771883</c:v>
                      </c:pt>
                      <c:pt idx="22">
                        <c:v>821.82984377828529</c:v>
                      </c:pt>
                      <c:pt idx="23">
                        <c:v>841.60434823296532</c:v>
                      </c:pt>
                      <c:pt idx="24">
                        <c:v>860.13238414122827</c:v>
                      </c:pt>
                      <c:pt idx="25">
                        <c:v>877.41395150307426</c:v>
                      </c:pt>
                      <c:pt idx="26">
                        <c:v>893.44905031850328</c:v>
                      </c:pt>
                      <c:pt idx="27">
                        <c:v>908.23768058751523</c:v>
                      </c:pt>
                      <c:pt idx="28">
                        <c:v>921.77984231011021</c:v>
                      </c:pt>
                      <c:pt idx="29">
                        <c:v>934.07553548628812</c:v>
                      </c:pt>
                      <c:pt idx="30">
                        <c:v>945.12476011604906</c:v>
                      </c:pt>
                      <c:pt idx="31">
                        <c:v>954.92751619939293</c:v>
                      </c:pt>
                      <c:pt idx="32">
                        <c:v>963.48380373631983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587-4C18-BD0B-495908D78E94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GasesSummary!$Z$63:$Z$95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587-4C18-BD0B-495908D78E94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GasesSummary!$AA$63:$AA$95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587-4C18-BD0B-495908D78E94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25400" cap="rnd">
                    <a:solidFill>
                      <a:schemeClr val="accent2">
                        <a:lumMod val="8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GasesSummary!$AC$63:$AC$95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445.03126424742572</c:v>
                      </c:pt>
                      <c:pt idx="1">
                        <c:v>445.03126424742572</c:v>
                      </c:pt>
                      <c:pt idx="2">
                        <c:v>445.03126424742572</c:v>
                      </c:pt>
                      <c:pt idx="3">
                        <c:v>445.03126424742572</c:v>
                      </c:pt>
                      <c:pt idx="4">
                        <c:v>445.03126424742572</c:v>
                      </c:pt>
                      <c:pt idx="5">
                        <c:v>445.03126424742572</c:v>
                      </c:pt>
                      <c:pt idx="6">
                        <c:v>445.03126424742572</c:v>
                      </c:pt>
                      <c:pt idx="7">
                        <c:v>445.03126424742572</c:v>
                      </c:pt>
                      <c:pt idx="8">
                        <c:v>445.03126424742572</c:v>
                      </c:pt>
                      <c:pt idx="9">
                        <c:v>445.03126424742572</c:v>
                      </c:pt>
                      <c:pt idx="10">
                        <c:v>445.03126424742572</c:v>
                      </c:pt>
                      <c:pt idx="11">
                        <c:v>445.03126424742572</c:v>
                      </c:pt>
                      <c:pt idx="12">
                        <c:v>445.03126424742572</c:v>
                      </c:pt>
                      <c:pt idx="13">
                        <c:v>445.03126424742572</c:v>
                      </c:pt>
                      <c:pt idx="14">
                        <c:v>445.03126424742572</c:v>
                      </c:pt>
                      <c:pt idx="15">
                        <c:v>445.03126424742572</c:v>
                      </c:pt>
                      <c:pt idx="16">
                        <c:v>445.03126424742572</c:v>
                      </c:pt>
                      <c:pt idx="17">
                        <c:v>445.03126424742572</c:v>
                      </c:pt>
                      <c:pt idx="18">
                        <c:v>445.03126424742572</c:v>
                      </c:pt>
                      <c:pt idx="19">
                        <c:v>445.03126424742572</c:v>
                      </c:pt>
                      <c:pt idx="20">
                        <c:v>445.03126424742572</c:v>
                      </c:pt>
                      <c:pt idx="21">
                        <c:v>445.03126424742572</c:v>
                      </c:pt>
                      <c:pt idx="22">
                        <c:v>445.03126424742572</c:v>
                      </c:pt>
                      <c:pt idx="23">
                        <c:v>445.03126424742572</c:v>
                      </c:pt>
                      <c:pt idx="24">
                        <c:v>445.03126424742572</c:v>
                      </c:pt>
                      <c:pt idx="25">
                        <c:v>445.03126424742572</c:v>
                      </c:pt>
                      <c:pt idx="26">
                        <c:v>445.03126424742572</c:v>
                      </c:pt>
                      <c:pt idx="27">
                        <c:v>445.03126424742572</c:v>
                      </c:pt>
                      <c:pt idx="28">
                        <c:v>445.03126424742572</c:v>
                      </c:pt>
                      <c:pt idx="29">
                        <c:v>445.03126424742572</c:v>
                      </c:pt>
                      <c:pt idx="30">
                        <c:v>445.03126424742572</c:v>
                      </c:pt>
                      <c:pt idx="31">
                        <c:v>445.03126424742572</c:v>
                      </c:pt>
                      <c:pt idx="32">
                        <c:v>445.03126424742572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587-4C18-BD0B-495908D78E94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GasesSummary!$AD$62</c15:sqref>
                        </c15:formulaRef>
                      </c:ext>
                    </c:extLst>
                    <c:strCache>
                      <c:ptCount val="1"/>
                      <c:pt idx="0">
                        <c:v>CO2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GasesSummary!$AD$63:$AD$95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76.836658636047673</c:v>
                      </c:pt>
                      <c:pt idx="4">
                        <c:v>116.62027914568507</c:v>
                      </c:pt>
                      <c:pt idx="5">
                        <c:v>157.07730316772418</c:v>
                      </c:pt>
                      <c:pt idx="6">
                        <c:v>192.49688361418941</c:v>
                      </c:pt>
                      <c:pt idx="7">
                        <c:v>224.25681395341451</c:v>
                      </c:pt>
                      <c:pt idx="8">
                        <c:v>251.79790754886619</c:v>
                      </c:pt>
                      <c:pt idx="9">
                        <c:v>276.48821118058521</c:v>
                      </c:pt>
                      <c:pt idx="10">
                        <c:v>298.29382594663218</c:v>
                      </c:pt>
                      <c:pt idx="11">
                        <c:v>317.66283237359221</c:v>
                      </c:pt>
                      <c:pt idx="12">
                        <c:v>335.2491566082864</c:v>
                      </c:pt>
                      <c:pt idx="13">
                        <c:v>351.95616463124588</c:v>
                      </c:pt>
                      <c:pt idx="14">
                        <c:v>367.78385644247066</c:v>
                      </c:pt>
                      <c:pt idx="15">
                        <c:v>382.73223204196074</c:v>
                      </c:pt>
                      <c:pt idx="16">
                        <c:v>396.80129142971612</c:v>
                      </c:pt>
                      <c:pt idx="17">
                        <c:v>409.99103460573673</c:v>
                      </c:pt>
                      <c:pt idx="18">
                        <c:v>422.3014615700227</c:v>
                      </c:pt>
                      <c:pt idx="19">
                        <c:v>433.7325723225739</c:v>
                      </c:pt>
                      <c:pt idx="20">
                        <c:v>444.2843668633904</c:v>
                      </c:pt>
                      <c:pt idx="21">
                        <c:v>453.9568451924722</c:v>
                      </c:pt>
                      <c:pt idx="22">
                        <c:v>462.7500073098193</c:v>
                      </c:pt>
                      <c:pt idx="23">
                        <c:v>470.66385321543169</c:v>
                      </c:pt>
                      <c:pt idx="24">
                        <c:v>477.69838290930937</c:v>
                      </c:pt>
                      <c:pt idx="25">
                        <c:v>483.85359639145236</c:v>
                      </c:pt>
                      <c:pt idx="26">
                        <c:v>489.12949366186058</c:v>
                      </c:pt>
                      <c:pt idx="27">
                        <c:v>493.52607472053415</c:v>
                      </c:pt>
                      <c:pt idx="28">
                        <c:v>497.04333956747297</c:v>
                      </c:pt>
                      <c:pt idx="29">
                        <c:v>499.68128820267708</c:v>
                      </c:pt>
                      <c:pt idx="30">
                        <c:v>501.43992062614649</c:v>
                      </c:pt>
                      <c:pt idx="31">
                        <c:v>502.31923683788119</c:v>
                      </c:pt>
                      <c:pt idx="32">
                        <c:v>502.31923683788119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587-4C18-BD0B-495908D78E94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GasesSummary!$AE$62</c15:sqref>
                        </c15:formulaRef>
                      </c:ext>
                    </c:extLst>
                    <c:strCache>
                      <c:ptCount val="1"/>
                      <c:pt idx="0">
                        <c:v>CH4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GasesSummary!$AE$63:$AE$95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1.798628462396155</c:v>
                      </c:pt>
                      <c:pt idx="5">
                        <c:v>2.3696188448295845</c:v>
                      </c:pt>
                      <c:pt idx="6">
                        <c:v>2.9150574813016448</c:v>
                      </c:pt>
                      <c:pt idx="7">
                        <c:v>3.4392933997055501</c:v>
                      </c:pt>
                      <c:pt idx="8">
                        <c:v>3.9380353499941578</c:v>
                      </c:pt>
                      <c:pt idx="9">
                        <c:v>4.4159930745682816</c:v>
                      </c:pt>
                      <c:pt idx="10">
                        <c:v>4.8716396377130167</c:v>
                      </c:pt>
                      <c:pt idx="11">
                        <c:v>5.3058004626330328</c:v>
                      </c:pt>
                      <c:pt idx="12">
                        <c:v>5.7203853809826137</c:v>
                      </c:pt>
                      <c:pt idx="13">
                        <c:v>6.1349702993321946</c:v>
                      </c:pt>
                      <c:pt idx="14">
                        <c:v>6.5495552176817755</c:v>
                      </c:pt>
                      <c:pt idx="15">
                        <c:v>6.9641401360313564</c:v>
                      </c:pt>
                      <c:pt idx="16">
                        <c:v>7.3787250543809373</c:v>
                      </c:pt>
                      <c:pt idx="17">
                        <c:v>7.7933099727305182</c:v>
                      </c:pt>
                      <c:pt idx="18">
                        <c:v>8.2078948910801</c:v>
                      </c:pt>
                      <c:pt idx="19">
                        <c:v>8.6224798094296808</c:v>
                      </c:pt>
                      <c:pt idx="20">
                        <c:v>9.0370647277792617</c:v>
                      </c:pt>
                      <c:pt idx="21">
                        <c:v>9.4516496461288426</c:v>
                      </c:pt>
                      <c:pt idx="22">
                        <c:v>9.8662345644784235</c:v>
                      </c:pt>
                      <c:pt idx="23">
                        <c:v>10.280819482828004</c:v>
                      </c:pt>
                      <c:pt idx="24">
                        <c:v>10.695404401177585</c:v>
                      </c:pt>
                      <c:pt idx="25">
                        <c:v>11.109989319527166</c:v>
                      </c:pt>
                      <c:pt idx="26">
                        <c:v>11.524574237876747</c:v>
                      </c:pt>
                      <c:pt idx="27">
                        <c:v>11.939159156226328</c:v>
                      </c:pt>
                      <c:pt idx="28">
                        <c:v>12.353744074575909</c:v>
                      </c:pt>
                      <c:pt idx="29">
                        <c:v>12.76832899292549</c:v>
                      </c:pt>
                      <c:pt idx="30">
                        <c:v>13.182913911275071</c:v>
                      </c:pt>
                      <c:pt idx="31">
                        <c:v>13.597498829624652</c:v>
                      </c:pt>
                      <c:pt idx="32">
                        <c:v>14.012083747974232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587-4C18-BD0B-495908D78E94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GasesSummary!$AF$62</c15:sqref>
                        </c15:formulaRef>
                      </c:ext>
                    </c:extLst>
                    <c:strCache>
                      <c:ptCount val="1"/>
                      <c:pt idx="0">
                        <c:v>N2O E61%A33%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GasesSummary!$AF$63:$AF$95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 formatCode="0.00">
                        <c:v>2.4191018892461238E-2</c:v>
                      </c:pt>
                      <c:pt idx="3" formatCode="0.00">
                        <c:v>4.8479561597467767E-2</c:v>
                      </c:pt>
                      <c:pt idx="4" formatCode="0.00">
                        <c:v>7.1981686525616803E-2</c:v>
                      </c:pt>
                      <c:pt idx="5" formatCode="0.00">
                        <c:v>9.5127986797454184E-2</c:v>
                      </c:pt>
                      <c:pt idx="6" formatCode="0.00">
                        <c:v>0.11715704045025011</c:v>
                      </c:pt>
                      <c:pt idx="7" formatCode="0.00">
                        <c:v>0.13838323211122447</c:v>
                      </c:pt>
                      <c:pt idx="8" formatCode="0.00">
                        <c:v>0.15849635382597824</c:v>
                      </c:pt>
                      <c:pt idx="9" formatCode="0.00">
                        <c:v>0.17783686572614035</c:v>
                      </c:pt>
                      <c:pt idx="10" formatCode="0.00">
                        <c:v>0.19629438794584053</c:v>
                      </c:pt>
                      <c:pt idx="11" formatCode="0.00">
                        <c:v>0.21392858907605367</c:v>
                      </c:pt>
                      <c:pt idx="12" formatCode="0.00">
                        <c:v>0.23087752794910449</c:v>
                      </c:pt>
                      <c:pt idx="13" formatCode="0.00">
                        <c:v>0.24782646682215531</c:v>
                      </c:pt>
                      <c:pt idx="14" formatCode="0.00">
                        <c:v>0.26477540569520613</c:v>
                      </c:pt>
                      <c:pt idx="15" formatCode="0.00">
                        <c:v>0.28172434456825696</c:v>
                      </c:pt>
                      <c:pt idx="16" formatCode="0.00">
                        <c:v>0.29867328344130778</c:v>
                      </c:pt>
                      <c:pt idx="17" formatCode="0.00">
                        <c:v>0.3156222223143586</c:v>
                      </c:pt>
                      <c:pt idx="18" formatCode="0.00">
                        <c:v>0.33257116118740943</c:v>
                      </c:pt>
                      <c:pt idx="19" formatCode="0.00">
                        <c:v>0.34952010006046025</c:v>
                      </c:pt>
                      <c:pt idx="20" formatCode="0.00">
                        <c:v>0.36646903893351107</c:v>
                      </c:pt>
                      <c:pt idx="21" formatCode="0.00">
                        <c:v>0.38341797780656189</c:v>
                      </c:pt>
                      <c:pt idx="22" formatCode="0.00">
                        <c:v>0.40036691667961272</c:v>
                      </c:pt>
                      <c:pt idx="23" formatCode="0.00">
                        <c:v>0.41731585555266354</c:v>
                      </c:pt>
                      <c:pt idx="24" formatCode="0.00">
                        <c:v>0.43426479442571436</c:v>
                      </c:pt>
                      <c:pt idx="25" formatCode="0.00">
                        <c:v>0.45121373329876518</c:v>
                      </c:pt>
                      <c:pt idx="26" formatCode="0.00">
                        <c:v>0.46816267217181601</c:v>
                      </c:pt>
                      <c:pt idx="27" formatCode="0.00">
                        <c:v>0.48511161104486683</c:v>
                      </c:pt>
                      <c:pt idx="28" formatCode="0.00">
                        <c:v>0.5020605499179176</c:v>
                      </c:pt>
                      <c:pt idx="29" formatCode="0.00">
                        <c:v>0.51900948879096842</c:v>
                      </c:pt>
                      <c:pt idx="30" formatCode="0.00">
                        <c:v>0.53595842766401924</c:v>
                      </c:pt>
                      <c:pt idx="31" formatCode="0.00">
                        <c:v>0.55290736653707007</c:v>
                      </c:pt>
                      <c:pt idx="32" formatCode="0.00">
                        <c:v>0.56985630541012089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587-4C18-BD0B-495908D78E94}"/>
                  </c:ext>
                </c:extLst>
              </c15:ser>
            </c15:filteredScatterSeries>
            <c15:filteredScatte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GasesSummary!$AG$63:$AG$95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50.361596947092337</c:v>
                      </c:pt>
                      <c:pt idx="5">
                        <c:v>66.349327655228365</c:v>
                      </c:pt>
                      <c:pt idx="6">
                        <c:v>81.621609476446054</c:v>
                      </c:pt>
                      <c:pt idx="7">
                        <c:v>96.300215191755399</c:v>
                      </c:pt>
                      <c:pt idx="8">
                        <c:v>110.26498979983641</c:v>
                      </c:pt>
                      <c:pt idx="9">
                        <c:v>123.64780608791189</c:v>
                      </c:pt>
                      <c:pt idx="10">
                        <c:v>136.4059098559645</c:v>
                      </c:pt>
                      <c:pt idx="11">
                        <c:v>148.56241295372496</c:v>
                      </c:pt>
                      <c:pt idx="12">
                        <c:v>160.17079066751324</c:v>
                      </c:pt>
                      <c:pt idx="13">
                        <c:v>171.77916838130153</c:v>
                      </c:pt>
                      <c:pt idx="14">
                        <c:v>183.38754609508982</c:v>
                      </c:pt>
                      <c:pt idx="15">
                        <c:v>194.9959238088781</c:v>
                      </c:pt>
                      <c:pt idx="16">
                        <c:v>206.60430152266639</c:v>
                      </c:pt>
                      <c:pt idx="17">
                        <c:v>218.21267923645468</c:v>
                      </c:pt>
                      <c:pt idx="18">
                        <c:v>229.82105695024296</c:v>
                      </c:pt>
                      <c:pt idx="19">
                        <c:v>241.42943466403125</c:v>
                      </c:pt>
                      <c:pt idx="20">
                        <c:v>253.03781237781953</c:v>
                      </c:pt>
                      <c:pt idx="21">
                        <c:v>264.64619009160782</c:v>
                      </c:pt>
                      <c:pt idx="22">
                        <c:v>276.25456780539611</c:v>
                      </c:pt>
                      <c:pt idx="23">
                        <c:v>287.86294551918439</c:v>
                      </c:pt>
                      <c:pt idx="24">
                        <c:v>299.47132323297268</c:v>
                      </c:pt>
                      <c:pt idx="25">
                        <c:v>311.07970094676097</c:v>
                      </c:pt>
                      <c:pt idx="26">
                        <c:v>322.68807866054925</c:v>
                      </c:pt>
                      <c:pt idx="27">
                        <c:v>334.29645637433754</c:v>
                      </c:pt>
                      <c:pt idx="28">
                        <c:v>345.90483408812582</c:v>
                      </c:pt>
                      <c:pt idx="29">
                        <c:v>357.51321180191411</c:v>
                      </c:pt>
                      <c:pt idx="30">
                        <c:v>369.1215895157024</c:v>
                      </c:pt>
                      <c:pt idx="31">
                        <c:v>380.72996722949068</c:v>
                      </c:pt>
                      <c:pt idx="32">
                        <c:v>392.33834494327897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587-4C18-BD0B-495908D78E94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GasesSummary!$AI$62</c15:sqref>
                        </c15:formulaRef>
                      </c:ext>
                    </c:extLst>
                    <c:strCache>
                      <c:ptCount val="1"/>
                      <c:pt idx="0">
                        <c:v>GWP100 E61%-A33%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GasesSummary!$AI$63:$AI$95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123.63708666818758</c:v>
                      </c:pt>
                      <c:pt idx="4">
                        <c:v>186.05702302206589</c:v>
                      </c:pt>
                      <c:pt idx="5">
                        <c:v>248.63554732427792</c:v>
                      </c:pt>
                      <c:pt idx="6">
                        <c:v>305.16510880995173</c:v>
                      </c:pt>
                      <c:pt idx="7">
                        <c:v>357.22858565464435</c:v>
                      </c:pt>
                      <c:pt idx="8">
                        <c:v>404.06443111258682</c:v>
                      </c:pt>
                      <c:pt idx="9">
                        <c:v>447.26278668592425</c:v>
                      </c:pt>
                      <c:pt idx="10">
                        <c:v>486.71774860824434</c:v>
                      </c:pt>
                      <c:pt idx="11">
                        <c:v>522.91632143247125</c:v>
                      </c:pt>
                      <c:pt idx="12">
                        <c:v>556.60249218231218</c:v>
                      </c:pt>
                      <c:pt idx="13">
                        <c:v>589.18477328035044</c:v>
                      </c:pt>
                      <c:pt idx="14">
                        <c:v>620.66316472658605</c:v>
                      </c:pt>
                      <c:pt idx="15">
                        <c:v>651.0376665210191</c:v>
                      </c:pt>
                      <c:pt idx="16">
                        <c:v>680.3082786636495</c:v>
                      </c:pt>
                      <c:pt idx="17">
                        <c:v>708.47500115447724</c:v>
                      </c:pt>
                      <c:pt idx="18">
                        <c:v>735.53783399350243</c:v>
                      </c:pt>
                      <c:pt idx="19">
                        <c:v>761.49677718072496</c:v>
                      </c:pt>
                      <c:pt idx="20">
                        <c:v>786.35183071614483</c:v>
                      </c:pt>
                      <c:pt idx="21">
                        <c:v>810.10299459976204</c:v>
                      </c:pt>
                      <c:pt idx="22">
                        <c:v>832.75026883157659</c:v>
                      </c:pt>
                      <c:pt idx="23">
                        <c:v>854.29365341158859</c:v>
                      </c:pt>
                      <c:pt idx="24">
                        <c:v>874.73314833979794</c:v>
                      </c:pt>
                      <c:pt idx="25">
                        <c:v>894.06875361620462</c:v>
                      </c:pt>
                      <c:pt idx="26">
                        <c:v>912.30046924080864</c:v>
                      </c:pt>
                      <c:pt idx="27">
                        <c:v>929.42829521361011</c:v>
                      </c:pt>
                      <c:pt idx="28">
                        <c:v>945.45223153460893</c:v>
                      </c:pt>
                      <c:pt idx="29">
                        <c:v>960.37227820380508</c:v>
                      </c:pt>
                      <c:pt idx="30">
                        <c:v>974.18843522119857</c:v>
                      </c:pt>
                      <c:pt idx="31">
                        <c:v>986.90070258678952</c:v>
                      </c:pt>
                      <c:pt idx="32">
                        <c:v>998.50908030057781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587-4C18-BD0B-495908D78E94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GasesSummary!$AJ$63:$AJ$95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587-4C18-BD0B-495908D78E94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GasesSummary!$AK$63:$AK$95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1587-4C18-BD0B-495908D78E94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GasesSummary!$AM$63:$AM$95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432.83957758573609</c:v>
                      </c:pt>
                      <c:pt idx="1">
                        <c:v>432.83957758573609</c:v>
                      </c:pt>
                      <c:pt idx="2">
                        <c:v>432.83957758573609</c:v>
                      </c:pt>
                      <c:pt idx="3">
                        <c:v>432.83957758573609</c:v>
                      </c:pt>
                      <c:pt idx="4">
                        <c:v>432.83957758573609</c:v>
                      </c:pt>
                      <c:pt idx="5">
                        <c:v>432.83957758573609</c:v>
                      </c:pt>
                      <c:pt idx="6">
                        <c:v>432.83957758573609</c:v>
                      </c:pt>
                      <c:pt idx="7">
                        <c:v>432.83957758573609</c:v>
                      </c:pt>
                      <c:pt idx="8">
                        <c:v>432.83957758573609</c:v>
                      </c:pt>
                      <c:pt idx="9">
                        <c:v>432.83957758573609</c:v>
                      </c:pt>
                      <c:pt idx="10">
                        <c:v>432.83957758573609</c:v>
                      </c:pt>
                      <c:pt idx="11">
                        <c:v>432.83957758573609</c:v>
                      </c:pt>
                      <c:pt idx="12">
                        <c:v>432.83957758573609</c:v>
                      </c:pt>
                      <c:pt idx="13">
                        <c:v>432.83957758573609</c:v>
                      </c:pt>
                      <c:pt idx="14">
                        <c:v>432.83957758573609</c:v>
                      </c:pt>
                      <c:pt idx="15">
                        <c:v>432.83957758573609</c:v>
                      </c:pt>
                      <c:pt idx="16">
                        <c:v>432.83957758573609</c:v>
                      </c:pt>
                      <c:pt idx="17">
                        <c:v>432.83957758573609</c:v>
                      </c:pt>
                      <c:pt idx="18">
                        <c:v>432.83957758573609</c:v>
                      </c:pt>
                      <c:pt idx="19">
                        <c:v>432.83957758573609</c:v>
                      </c:pt>
                      <c:pt idx="20">
                        <c:v>432.83957758573609</c:v>
                      </c:pt>
                      <c:pt idx="21">
                        <c:v>432.83957758573609</c:v>
                      </c:pt>
                      <c:pt idx="22">
                        <c:v>432.83957758573609</c:v>
                      </c:pt>
                      <c:pt idx="23">
                        <c:v>432.83957758573609</c:v>
                      </c:pt>
                      <c:pt idx="24">
                        <c:v>432.83957758573609</c:v>
                      </c:pt>
                      <c:pt idx="25">
                        <c:v>432.83957758573609</c:v>
                      </c:pt>
                      <c:pt idx="26">
                        <c:v>432.83957758573609</c:v>
                      </c:pt>
                      <c:pt idx="27">
                        <c:v>432.83957758573609</c:v>
                      </c:pt>
                      <c:pt idx="28">
                        <c:v>432.83957758573609</c:v>
                      </c:pt>
                      <c:pt idx="29">
                        <c:v>432.83957758573609</c:v>
                      </c:pt>
                      <c:pt idx="30">
                        <c:v>432.83957758573609</c:v>
                      </c:pt>
                      <c:pt idx="31">
                        <c:v>432.83957758573609</c:v>
                      </c:pt>
                      <c:pt idx="32">
                        <c:v>432.83957758573609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1587-4C18-BD0B-495908D78E94}"/>
                  </c:ext>
                </c:extLst>
              </c15:ser>
            </c15:filteredScatterSeries>
            <c15:filteredScatte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GasesSummary!$AN$62</c15:sqref>
                        </c15:formulaRef>
                      </c:ext>
                    </c:extLst>
                    <c:strCache>
                      <c:ptCount val="1"/>
                      <c:pt idx="0">
                        <c:v>CO2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GasesSummary!$AN$63:$AN$95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37.397075829274357</c:v>
                      </c:pt>
                      <c:pt idx="3">
                        <c:v>76.832908198650273</c:v>
                      </c:pt>
                      <c:pt idx="4">
                        <c:v>116.60902783349296</c:v>
                      </c:pt>
                      <c:pt idx="5">
                        <c:v>157.05480054333992</c:v>
                      </c:pt>
                      <c:pt idx="6">
                        <c:v>191.98435742533653</c:v>
                      </c:pt>
                      <c:pt idx="7">
                        <c:v>222.88840696938615</c:v>
                      </c:pt>
                      <c:pt idx="8">
                        <c:v>249.29926264264137</c:v>
                      </c:pt>
                      <c:pt idx="9">
                        <c:v>272.65992343773638</c:v>
                      </c:pt>
                      <c:pt idx="10">
                        <c:v>292.99781499030848</c:v>
                      </c:pt>
                      <c:pt idx="11">
                        <c:v>310.80968809486069</c:v>
                      </c:pt>
                      <c:pt idx="12">
                        <c:v>326.79035192326518</c:v>
                      </c:pt>
                      <c:pt idx="13">
                        <c:v>341.97198256024944</c:v>
                      </c:pt>
                      <c:pt idx="14">
                        <c:v>356.35458000581349</c:v>
                      </c:pt>
                      <c:pt idx="15">
                        <c:v>369.93814425995731</c:v>
                      </c:pt>
                      <c:pt idx="16">
                        <c:v>382.72267532268091</c:v>
                      </c:pt>
                      <c:pt idx="17">
                        <c:v>394.70817319398429</c:v>
                      </c:pt>
                      <c:pt idx="18">
                        <c:v>405.89463787386745</c:v>
                      </c:pt>
                      <c:pt idx="19">
                        <c:v>416.28206936233039</c:v>
                      </c:pt>
                      <c:pt idx="20">
                        <c:v>425.87046765937311</c:v>
                      </c:pt>
                      <c:pt idx="21">
                        <c:v>434.6598327649956</c:v>
                      </c:pt>
                      <c:pt idx="22">
                        <c:v>442.65016467919781</c:v>
                      </c:pt>
                      <c:pt idx="23">
                        <c:v>449.84146340197987</c:v>
                      </c:pt>
                      <c:pt idx="24">
                        <c:v>456.23372893334169</c:v>
                      </c:pt>
                      <c:pt idx="25">
                        <c:v>461.82696127328325</c:v>
                      </c:pt>
                      <c:pt idx="26">
                        <c:v>466.62116042180463</c:v>
                      </c:pt>
                      <c:pt idx="27">
                        <c:v>470.61632637890574</c:v>
                      </c:pt>
                      <c:pt idx="28">
                        <c:v>473.81245914458663</c:v>
                      </c:pt>
                      <c:pt idx="29">
                        <c:v>476.20955871884729</c:v>
                      </c:pt>
                      <c:pt idx="30">
                        <c:v>477.80762510168773</c:v>
                      </c:pt>
                      <c:pt idx="31">
                        <c:v>478.60665829310796</c:v>
                      </c:pt>
                      <c:pt idx="32">
                        <c:v>478.60665829310796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1587-4C18-BD0B-495908D78E94}"/>
                  </c:ext>
                </c:extLst>
              </c15:ser>
            </c15:filteredScatterSeries>
            <c15:filteredScatte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GasesSummary!$AO$62</c15:sqref>
                        </c15:formulaRef>
                      </c:ext>
                    </c:extLst>
                    <c:strCache>
                      <c:ptCount val="1"/>
                      <c:pt idx="0">
                        <c:v>CH4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GasesSummary!$AO$63:$AO$95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1.8033384781011881</c:v>
                      </c:pt>
                      <c:pt idx="5">
                        <c:v>2.3837488919446836</c:v>
                      </c:pt>
                      <c:pt idx="6">
                        <c:v>2.943317575531843</c:v>
                      </c:pt>
                      <c:pt idx="7">
                        <c:v>3.4863935567558806</c:v>
                      </c:pt>
                      <c:pt idx="8">
                        <c:v>4.0086855855696539</c:v>
                      </c:pt>
                      <c:pt idx="9">
                        <c:v>4.5149034043739764</c:v>
                      </c:pt>
                      <c:pt idx="10">
                        <c:v>5.0035200774539437</c:v>
                      </c:pt>
                      <c:pt idx="11">
                        <c:v>5.4753610280142242</c:v>
                      </c:pt>
                      <c:pt idx="12">
                        <c:v>5.9323360877091025</c:v>
                      </c:pt>
                      <c:pt idx="13">
                        <c:v>6.3893111474039808</c:v>
                      </c:pt>
                      <c:pt idx="14">
                        <c:v>6.846286207098859</c:v>
                      </c:pt>
                      <c:pt idx="15">
                        <c:v>7.3032612667937373</c:v>
                      </c:pt>
                      <c:pt idx="16">
                        <c:v>7.7602363264886156</c:v>
                      </c:pt>
                      <c:pt idx="17">
                        <c:v>8.2172113861834948</c:v>
                      </c:pt>
                      <c:pt idx="18">
                        <c:v>8.6741864458783731</c:v>
                      </c:pt>
                      <c:pt idx="19">
                        <c:v>9.1311615055732513</c:v>
                      </c:pt>
                      <c:pt idx="20">
                        <c:v>9.5881365652681296</c:v>
                      </c:pt>
                      <c:pt idx="21">
                        <c:v>10.045111624963008</c:v>
                      </c:pt>
                      <c:pt idx="22">
                        <c:v>10.502086684657886</c:v>
                      </c:pt>
                      <c:pt idx="23">
                        <c:v>10.959061744352764</c:v>
                      </c:pt>
                      <c:pt idx="24">
                        <c:v>11.416036804047643</c:v>
                      </c:pt>
                      <c:pt idx="25">
                        <c:v>11.873011863742521</c:v>
                      </c:pt>
                      <c:pt idx="26">
                        <c:v>12.329986923437399</c:v>
                      </c:pt>
                      <c:pt idx="27">
                        <c:v>12.786961983132278</c:v>
                      </c:pt>
                      <c:pt idx="28">
                        <c:v>13.243937042827156</c:v>
                      </c:pt>
                      <c:pt idx="29">
                        <c:v>13.700912102522034</c:v>
                      </c:pt>
                      <c:pt idx="30">
                        <c:v>14.157887162216912</c:v>
                      </c:pt>
                      <c:pt idx="31">
                        <c:v>14.614862221911791</c:v>
                      </c:pt>
                      <c:pt idx="32">
                        <c:v>15.071837281606669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1587-4C18-BD0B-495908D78E94}"/>
                  </c:ext>
                </c:extLst>
              </c15:ser>
            </c15:filteredScatterSeries>
            <c15:filteredScatte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GasesSummary!$AP$62</c15:sqref>
                        </c15:formulaRef>
                      </c:ext>
                    </c:extLst>
                    <c:strCache>
                      <c:ptCount val="1"/>
                      <c:pt idx="0">
                        <c:v>N2O E65%A26%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GasesSummary!$AP$63:$AP$95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7.2171013129571915E-2</c:v>
                      </c:pt>
                      <c:pt idx="5">
                        <c:v>9.5695966609319519E-2</c:v>
                      </c:pt>
                      <c:pt idx="6">
                        <c:v>0.11829300007398079</c:v>
                      </c:pt>
                      <c:pt idx="7">
                        <c:v>0.14027649815077561</c:v>
                      </c:pt>
                      <c:pt idx="8">
                        <c:v>0.16133625288530495</c:v>
                      </c:pt>
                      <c:pt idx="9">
                        <c:v>0.18181272440919777</c:v>
                      </c:pt>
                      <c:pt idx="10">
                        <c:v>0.20159553285658374</c:v>
                      </c:pt>
                      <c:pt idx="11">
                        <c:v>0.2207443468184378</c:v>
                      </c:pt>
                      <c:pt idx="12">
                        <c:v>0.23939722512708467</c:v>
                      </c:pt>
                      <c:pt idx="13">
                        <c:v>0.25805010343573154</c:v>
                      </c:pt>
                      <c:pt idx="14">
                        <c:v>0.27670298174437841</c:v>
                      </c:pt>
                      <c:pt idx="15">
                        <c:v>0.29535586005302528</c:v>
                      </c:pt>
                      <c:pt idx="16">
                        <c:v>0.31400873836167215</c:v>
                      </c:pt>
                      <c:pt idx="17">
                        <c:v>0.33266161667031902</c:v>
                      </c:pt>
                      <c:pt idx="18">
                        <c:v>0.35131449497896589</c:v>
                      </c:pt>
                      <c:pt idx="19">
                        <c:v>0.36996737328761276</c:v>
                      </c:pt>
                      <c:pt idx="20">
                        <c:v>0.38862025159625962</c:v>
                      </c:pt>
                      <c:pt idx="21">
                        <c:v>0.40727312990490649</c:v>
                      </c:pt>
                      <c:pt idx="22">
                        <c:v>0.42592600821355336</c:v>
                      </c:pt>
                      <c:pt idx="23">
                        <c:v>0.44457888652220023</c:v>
                      </c:pt>
                      <c:pt idx="24">
                        <c:v>0.4632317648308471</c:v>
                      </c:pt>
                      <c:pt idx="25">
                        <c:v>0.48188464313949397</c:v>
                      </c:pt>
                      <c:pt idx="26">
                        <c:v>0.50053752144814079</c:v>
                      </c:pt>
                      <c:pt idx="27">
                        <c:v>0.5191903997567876</c:v>
                      </c:pt>
                      <c:pt idx="28">
                        <c:v>0.53784327806543442</c:v>
                      </c:pt>
                      <c:pt idx="29">
                        <c:v>0.55649615637408123</c:v>
                      </c:pt>
                      <c:pt idx="30">
                        <c:v>0.57514903468272804</c:v>
                      </c:pt>
                      <c:pt idx="31">
                        <c:v>0.59380191299137486</c:v>
                      </c:pt>
                      <c:pt idx="32">
                        <c:v>0.61245479130002167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1587-4C18-BD0B-495908D78E94}"/>
                  </c:ext>
                </c:extLst>
              </c15:ser>
            </c15:filteredScatterSeries>
            <c15:filteredScatte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GasesSummary!$AQ$63:$AQ$95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50.493477386833263</c:v>
                      </c:pt>
                      <c:pt idx="5">
                        <c:v>66.74496897445114</c:v>
                      </c:pt>
                      <c:pt idx="6">
                        <c:v>82.412892114891605</c:v>
                      </c:pt>
                      <c:pt idx="7">
                        <c:v>97.619019589164651</c:v>
                      </c:pt>
                      <c:pt idx="8">
                        <c:v>112.24319639595029</c:v>
                      </c:pt>
                      <c:pt idx="9">
                        <c:v>126.41729532247132</c:v>
                      </c:pt>
                      <c:pt idx="10">
                        <c:v>140.0985621687104</c:v>
                      </c:pt>
                      <c:pt idx="11">
                        <c:v>153.31010878439827</c:v>
                      </c:pt>
                      <c:pt idx="12">
                        <c:v>166.10541045585487</c:v>
                      </c:pt>
                      <c:pt idx="13">
                        <c:v>178.90071212731146</c:v>
                      </c:pt>
                      <c:pt idx="14">
                        <c:v>191.69601379876806</c:v>
                      </c:pt>
                      <c:pt idx="15">
                        <c:v>204.49131547022466</c:v>
                      </c:pt>
                      <c:pt idx="16">
                        <c:v>217.28661714168126</c:v>
                      </c:pt>
                      <c:pt idx="17">
                        <c:v>230.08191881313786</c:v>
                      </c:pt>
                      <c:pt idx="18">
                        <c:v>242.87722048459446</c:v>
                      </c:pt>
                      <c:pt idx="19">
                        <c:v>255.67252215605106</c:v>
                      </c:pt>
                      <c:pt idx="20">
                        <c:v>268.46782382750769</c:v>
                      </c:pt>
                      <c:pt idx="21">
                        <c:v>281.26312549896431</c:v>
                      </c:pt>
                      <c:pt idx="22">
                        <c:v>294.05842717042094</c:v>
                      </c:pt>
                      <c:pt idx="23">
                        <c:v>306.85372884187757</c:v>
                      </c:pt>
                      <c:pt idx="24">
                        <c:v>319.6490305133342</c:v>
                      </c:pt>
                      <c:pt idx="25">
                        <c:v>332.44433218479082</c:v>
                      </c:pt>
                      <c:pt idx="26">
                        <c:v>345.23963385624745</c:v>
                      </c:pt>
                      <c:pt idx="27">
                        <c:v>358.03493552770408</c:v>
                      </c:pt>
                      <c:pt idx="28">
                        <c:v>370.83023719916071</c:v>
                      </c:pt>
                      <c:pt idx="29">
                        <c:v>383.62553887061733</c:v>
                      </c:pt>
                      <c:pt idx="30">
                        <c:v>396.42084054207396</c:v>
                      </c:pt>
                      <c:pt idx="31">
                        <c:v>409.21614221353059</c:v>
                      </c:pt>
                      <c:pt idx="32">
                        <c:v>422.01144388498722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1587-4C18-BD0B-495908D78E94}"/>
                  </c:ext>
                </c:extLst>
              </c15:ser>
            </c15:filteredScatterSeries>
            <c15:filteredScatte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GasesSummary!$AS$62</c15:sqref>
                        </c15:formulaRef>
                      </c:ext>
                    </c:extLst>
                    <c:strCache>
                      <c:ptCount val="1"/>
                      <c:pt idx="0">
                        <c:v>GWP100 E65%-A26%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GasesSummary!$AS$63:$AS$95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123.63333623079016</c:v>
                      </c:pt>
                      <c:pt idx="4">
                        <c:v>186.22782369966279</c:v>
                      </c:pt>
                      <c:pt idx="5">
                        <c:v>249.15920066926074</c:v>
                      </c:pt>
                      <c:pt idx="6">
                        <c:v>305.74489455983303</c:v>
                      </c:pt>
                      <c:pt idx="7">
                        <c:v>357.68069856850633</c:v>
                      </c:pt>
                      <c:pt idx="8">
                        <c:v>404.29656605319747</c:v>
                      </c:pt>
                      <c:pt idx="9">
                        <c:v>447.25759072864514</c:v>
                      </c:pt>
                      <c:pt idx="10">
                        <c:v>486.51919336601361</c:v>
                      </c:pt>
                      <c:pt idx="11">
                        <c:v>522.61704878614501</c:v>
                      </c:pt>
                      <c:pt idx="12">
                        <c:v>556.33602703779752</c:v>
                      </c:pt>
                      <c:pt idx="13">
                        <c:v>589.00882146044023</c:v>
                      </c:pt>
                      <c:pt idx="14">
                        <c:v>620.63543205407314</c:v>
                      </c:pt>
                      <c:pt idx="15">
                        <c:v>651.21585881869623</c:v>
                      </c:pt>
                      <c:pt idx="16">
                        <c:v>680.75010175430953</c:v>
                      </c:pt>
                      <c:pt idx="17">
                        <c:v>709.23816086091313</c:v>
                      </c:pt>
                      <c:pt idx="18">
                        <c:v>736.68003613850692</c:v>
                      </c:pt>
                      <c:pt idx="19">
                        <c:v>763.07572758709091</c:v>
                      </c:pt>
                      <c:pt idx="20">
                        <c:v>788.42523520666509</c:v>
                      </c:pt>
                      <c:pt idx="21">
                        <c:v>812.72855899722947</c:v>
                      </c:pt>
                      <c:pt idx="22">
                        <c:v>835.98569895878404</c:v>
                      </c:pt>
                      <c:pt idx="23">
                        <c:v>858.19665509132881</c:v>
                      </c:pt>
                      <c:pt idx="24">
                        <c:v>879.36142739486377</c:v>
                      </c:pt>
                      <c:pt idx="25">
                        <c:v>899.48001586938892</c:v>
                      </c:pt>
                      <c:pt idx="26">
                        <c:v>918.55242051490427</c:v>
                      </c:pt>
                      <c:pt idx="27">
                        <c:v>936.57864133140981</c:v>
                      </c:pt>
                      <c:pt idx="28">
                        <c:v>953.55867831890555</c:v>
                      </c:pt>
                      <c:pt idx="29">
                        <c:v>969.49253147739159</c:v>
                      </c:pt>
                      <c:pt idx="30">
                        <c:v>984.38020080686783</c:v>
                      </c:pt>
                      <c:pt idx="31">
                        <c:v>998.22168630733427</c:v>
                      </c:pt>
                      <c:pt idx="32">
                        <c:v>1011.0169879787909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1587-4C18-BD0B-495908D78E94}"/>
                  </c:ext>
                </c:extLst>
              </c15:ser>
            </c15:filteredScatterSeries>
            <c15:filteredScatte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GasesSummary!$AT$63:$AT$95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1587-4C18-BD0B-495908D78E94}"/>
                  </c:ext>
                </c:extLst>
              </c15:ser>
            </c15:filteredScatterSeries>
            <c15:filteredScatte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GasesSummary!$AU$63:$AU$95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1587-4C18-BD0B-495908D78E94}"/>
                  </c:ext>
                </c:extLst>
              </c15:ser>
            </c15:filteredScatterSeries>
            <c15:filteredScatte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GasesSummary!$AW$62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GasesSummary!$AW$63:$AW$95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General">
                        <c:v>428.09836610619016</c:v>
                      </c:pt>
                      <c:pt idx="1">
                        <c:v>428.09836610619016</c:v>
                      </c:pt>
                      <c:pt idx="2">
                        <c:v>428.09836610619016</c:v>
                      </c:pt>
                      <c:pt idx="3">
                        <c:v>428.09836610619016</c:v>
                      </c:pt>
                      <c:pt idx="4">
                        <c:v>428.09836610619016</c:v>
                      </c:pt>
                      <c:pt idx="5">
                        <c:v>428.09836610619016</c:v>
                      </c:pt>
                      <c:pt idx="6">
                        <c:v>428.09836610619016</c:v>
                      </c:pt>
                      <c:pt idx="7">
                        <c:v>428.09836610619016</c:v>
                      </c:pt>
                      <c:pt idx="8">
                        <c:v>428.09836610619016</c:v>
                      </c:pt>
                      <c:pt idx="9">
                        <c:v>428.09836610619016</c:v>
                      </c:pt>
                      <c:pt idx="10">
                        <c:v>428.09836610619016</c:v>
                      </c:pt>
                      <c:pt idx="11">
                        <c:v>428.09836610619016</c:v>
                      </c:pt>
                      <c:pt idx="12">
                        <c:v>428.09836610619016</c:v>
                      </c:pt>
                      <c:pt idx="13">
                        <c:v>428.09836610619016</c:v>
                      </c:pt>
                      <c:pt idx="14">
                        <c:v>428.09836610619016</c:v>
                      </c:pt>
                      <c:pt idx="15">
                        <c:v>428.09836610619016</c:v>
                      </c:pt>
                      <c:pt idx="16">
                        <c:v>428.09836610619016</c:v>
                      </c:pt>
                      <c:pt idx="17">
                        <c:v>428.09836610619016</c:v>
                      </c:pt>
                      <c:pt idx="18">
                        <c:v>428.09836610619016</c:v>
                      </c:pt>
                      <c:pt idx="19">
                        <c:v>428.09836610619016</c:v>
                      </c:pt>
                      <c:pt idx="20">
                        <c:v>428.09836610619016</c:v>
                      </c:pt>
                      <c:pt idx="21">
                        <c:v>428.09836610619016</c:v>
                      </c:pt>
                      <c:pt idx="22">
                        <c:v>428.09836610619016</c:v>
                      </c:pt>
                      <c:pt idx="23">
                        <c:v>428.09836610619016</c:v>
                      </c:pt>
                      <c:pt idx="24">
                        <c:v>428.09836610619016</c:v>
                      </c:pt>
                      <c:pt idx="25">
                        <c:v>428.09836610619016</c:v>
                      </c:pt>
                      <c:pt idx="26">
                        <c:v>428.09836610619016</c:v>
                      </c:pt>
                      <c:pt idx="27">
                        <c:v>428.09836610619016</c:v>
                      </c:pt>
                      <c:pt idx="28">
                        <c:v>428.09836610619016</c:v>
                      </c:pt>
                      <c:pt idx="29">
                        <c:v>428.09836610619016</c:v>
                      </c:pt>
                      <c:pt idx="30">
                        <c:v>428.09836610619016</c:v>
                      </c:pt>
                      <c:pt idx="31">
                        <c:v>428.09836610619016</c:v>
                      </c:pt>
                      <c:pt idx="32">
                        <c:v>428.09836610619016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1587-4C18-BD0B-495908D78E94}"/>
                  </c:ext>
                </c:extLst>
              </c15:ser>
            </c15:filteredScatterSeries>
            <c15:filteredScatte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GasesSummary!$AX$62</c15:sqref>
                        </c15:formulaRef>
                      </c:ext>
                    </c:extLst>
                    <c:strCache>
                      <c:ptCount val="1"/>
                      <c:pt idx="0">
                        <c:v>CO2 E69%A19%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GasesSummary!$AX$63:$AX$95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41.81151164486662</c:v>
                      </c:pt>
                      <c:pt idx="3">
                        <c:v>83.62302328973324</c:v>
                      </c:pt>
                      <c:pt idx="4">
                        <c:v>122.30619666177355</c:v>
                      </c:pt>
                      <c:pt idx="5">
                        <c:v>157.86103176098754</c:v>
                      </c:pt>
                      <c:pt idx="6">
                        <c:v>190.28752858737522</c:v>
                      </c:pt>
                      <c:pt idx="7">
                        <c:v>219.58568714093659</c:v>
                      </c:pt>
                      <c:pt idx="8">
                        <c:v>245.75550742167164</c:v>
                      </c:pt>
                      <c:pt idx="9">
                        <c:v>268.79698942958038</c:v>
                      </c:pt>
                      <c:pt idx="10">
                        <c:v>288.71013316466281</c:v>
                      </c:pt>
                      <c:pt idx="11">
                        <c:v>305.49493862691895</c:v>
                      </c:pt>
                      <c:pt idx="12">
                        <c:v>319.15140581634876</c:v>
                      </c:pt>
                      <c:pt idx="13">
                        <c:v>332.1250496463071</c:v>
                      </c:pt>
                      <c:pt idx="14">
                        <c:v>344.41587011679394</c:v>
                      </c:pt>
                      <c:pt idx="15">
                        <c:v>356.02386722780926</c:v>
                      </c:pt>
                      <c:pt idx="16">
                        <c:v>366.94904097935313</c:v>
                      </c:pt>
                      <c:pt idx="17">
                        <c:v>377.19139137142548</c:v>
                      </c:pt>
                      <c:pt idx="18">
                        <c:v>386.75091840402638</c:v>
                      </c:pt>
                      <c:pt idx="19">
                        <c:v>395.62762207715576</c:v>
                      </c:pt>
                      <c:pt idx="20">
                        <c:v>403.82150239081363</c:v>
                      </c:pt>
                      <c:pt idx="21">
                        <c:v>411.33255934500005</c:v>
                      </c:pt>
                      <c:pt idx="22">
                        <c:v>418.16079293971495</c:v>
                      </c:pt>
                      <c:pt idx="23">
                        <c:v>424.3062031749584</c:v>
                      </c:pt>
                      <c:pt idx="24">
                        <c:v>429.76879005073033</c:v>
                      </c:pt>
                      <c:pt idx="25">
                        <c:v>434.54855356703075</c:v>
                      </c:pt>
                      <c:pt idx="26">
                        <c:v>438.64549372385972</c:v>
                      </c:pt>
                      <c:pt idx="27">
                        <c:v>442.05961052121717</c:v>
                      </c:pt>
                      <c:pt idx="28">
                        <c:v>444.79090395910316</c:v>
                      </c:pt>
                      <c:pt idx="29">
                        <c:v>446.83937403751764</c:v>
                      </c:pt>
                      <c:pt idx="30">
                        <c:v>448.20502075646061</c:v>
                      </c:pt>
                      <c:pt idx="31">
                        <c:v>448.88784411593213</c:v>
                      </c:pt>
                      <c:pt idx="32">
                        <c:v>448.88784411593213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1587-4C18-BD0B-495908D78E94}"/>
                  </c:ext>
                </c:extLst>
              </c15:ser>
            </c15:filteredScatterSeries>
            <c15:filteredScatte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GasesSummary!$AY$62</c15:sqref>
                        </c15:formulaRef>
                      </c:ext>
                    </c:extLst>
                    <c:strCache>
                      <c:ptCount val="1"/>
                      <c:pt idx="0">
                        <c:v>CH4 E69%A19%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GasesSummary!$AY$63:$AY$95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0.60563517202162709</c:v>
                      </c:pt>
                      <c:pt idx="3">
                        <c:v>1.2126194360289619</c:v>
                      </c:pt>
                      <c:pt idx="4">
                        <c:v>1.8083849234994376</c:v>
                      </c:pt>
                      <c:pt idx="5">
                        <c:v>2.3988882281394321</c:v>
                      </c:pt>
                      <c:pt idx="6">
                        <c:v>2.9735962479213405</c:v>
                      </c:pt>
                      <c:pt idx="7">
                        <c:v>3.5368580107383765</c:v>
                      </c:pt>
                      <c:pt idx="8">
                        <c:v>4.0843822665433978</c:v>
                      </c:pt>
                      <c:pt idx="9">
                        <c:v>4.6208787577372181</c:v>
                      </c:pt>
                      <c:pt idx="10">
                        <c:v>5.1448205486049323</c:v>
                      </c:pt>
                      <c:pt idx="11">
                        <c:v>5.6570330623512097</c:v>
                      </c:pt>
                      <c:pt idx="12">
                        <c:v>6.1594261306303348</c:v>
                      </c:pt>
                      <c:pt idx="13">
                        <c:v>6.6618191989094599</c:v>
                      </c:pt>
                      <c:pt idx="14">
                        <c:v>7.1642122671885851</c:v>
                      </c:pt>
                      <c:pt idx="15">
                        <c:v>7.6666053354677102</c:v>
                      </c:pt>
                      <c:pt idx="16">
                        <c:v>8.1689984037468353</c:v>
                      </c:pt>
                      <c:pt idx="17">
                        <c:v>8.6713914720259613</c:v>
                      </c:pt>
                      <c:pt idx="18">
                        <c:v>9.1737845403050873</c:v>
                      </c:pt>
                      <c:pt idx="19">
                        <c:v>9.6761776085842133</c:v>
                      </c:pt>
                      <c:pt idx="20">
                        <c:v>10.178570676863339</c:v>
                      </c:pt>
                      <c:pt idx="21">
                        <c:v>10.680963745142465</c:v>
                      </c:pt>
                      <c:pt idx="22">
                        <c:v>11.183356813421591</c:v>
                      </c:pt>
                      <c:pt idx="23">
                        <c:v>11.685749881700717</c:v>
                      </c:pt>
                      <c:pt idx="24">
                        <c:v>12.188142949979843</c:v>
                      </c:pt>
                      <c:pt idx="25">
                        <c:v>12.690536018258969</c:v>
                      </c:pt>
                      <c:pt idx="26">
                        <c:v>13.192929086538095</c:v>
                      </c:pt>
                      <c:pt idx="27">
                        <c:v>13.695322154817221</c:v>
                      </c:pt>
                      <c:pt idx="28">
                        <c:v>14.197715223096347</c:v>
                      </c:pt>
                      <c:pt idx="29">
                        <c:v>14.700108291375473</c:v>
                      </c:pt>
                      <c:pt idx="30">
                        <c:v>15.202501359654599</c:v>
                      </c:pt>
                      <c:pt idx="31">
                        <c:v>15.704894427933725</c:v>
                      </c:pt>
                      <c:pt idx="32">
                        <c:v>16.207287496212849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1587-4C18-BD0B-495908D78E94}"/>
                  </c:ext>
                </c:extLst>
              </c15:ser>
            </c15:filteredScatterSeries>
            <c15:filteredScatte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GasesSummary!$AZ$62</c15:sqref>
                        </c15:formulaRef>
                      </c:ext>
                    </c:extLst>
                    <c:strCache>
                      <c:ptCount val="1"/>
                      <c:pt idx="0">
                        <c:v>N2O E19%A0%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GasesSummary!$AZ$63:$AZ$95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2.4191018892461238E-2</c:v>
                      </c:pt>
                      <c:pt idx="3">
                        <c:v>4.8479561597467767E-2</c:v>
                      </c:pt>
                      <c:pt idx="4">
                        <c:v>7.2373863062380972E-2</c:v>
                      </c:pt>
                      <c:pt idx="5">
                        <c:v>9.6304516407746676E-2</c:v>
                      </c:pt>
                      <c:pt idx="6">
                        <c:v>0.11951009967083509</c:v>
                      </c:pt>
                      <c:pt idx="7">
                        <c:v>0.1423049974788661</c:v>
                      </c:pt>
                      <c:pt idx="8">
                        <c:v>0.1643790018774407</c:v>
                      </c:pt>
                      <c:pt idx="9">
                        <c:v>0.1860725729981878</c:v>
                      </c:pt>
                      <c:pt idx="10">
                        <c:v>0.20727533097523715</c:v>
                      </c:pt>
                      <c:pt idx="11">
                        <c:v>0.22804694439956358</c:v>
                      </c:pt>
                      <c:pt idx="12">
                        <c:v>0.24852547210349188</c:v>
                      </c:pt>
                      <c:pt idx="13">
                        <c:v>0.26900399980742018</c:v>
                      </c:pt>
                      <c:pt idx="14">
                        <c:v>0.28948252751134851</c:v>
                      </c:pt>
                      <c:pt idx="15">
                        <c:v>0.30996105521527684</c:v>
                      </c:pt>
                      <c:pt idx="16">
                        <c:v>0.33043958291920517</c:v>
                      </c:pt>
                      <c:pt idx="17">
                        <c:v>0.35091811062313349</c:v>
                      </c:pt>
                      <c:pt idx="18">
                        <c:v>0.37139663832706182</c:v>
                      </c:pt>
                      <c:pt idx="19">
                        <c:v>0.39187516603099015</c:v>
                      </c:pt>
                      <c:pt idx="20">
                        <c:v>0.41235369373491848</c:v>
                      </c:pt>
                      <c:pt idx="21">
                        <c:v>0.43283222143884681</c:v>
                      </c:pt>
                      <c:pt idx="22">
                        <c:v>0.45331074914277514</c:v>
                      </c:pt>
                      <c:pt idx="23">
                        <c:v>0.47378927684670347</c:v>
                      </c:pt>
                      <c:pt idx="24">
                        <c:v>0.4942678045506318</c:v>
                      </c:pt>
                      <c:pt idx="25">
                        <c:v>0.51474633225456012</c:v>
                      </c:pt>
                      <c:pt idx="26">
                        <c:v>0.53522485995848845</c:v>
                      </c:pt>
                      <c:pt idx="27">
                        <c:v>0.55570338766241678</c:v>
                      </c:pt>
                      <c:pt idx="28">
                        <c:v>0.57618191536634511</c:v>
                      </c:pt>
                      <c:pt idx="29">
                        <c:v>0.59666044307027344</c:v>
                      </c:pt>
                      <c:pt idx="30">
                        <c:v>0.61713897077420177</c:v>
                      </c:pt>
                      <c:pt idx="31">
                        <c:v>0.6376174984781301</c:v>
                      </c:pt>
                      <c:pt idx="32">
                        <c:v>0.65809602618205842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1587-4C18-BD0B-495908D78E94}"/>
                  </c:ext>
                </c:extLst>
              </c15:ser>
            </c15:filteredScatterSeries>
            <c15:filteredScatte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GasesSummary!$BA$62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GasesSummary!$BA$63:$BA$95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16.95778481660556</c:v>
                      </c:pt>
                      <c:pt idx="3">
                        <c:v>33.953344208810933</c:v>
                      </c:pt>
                      <c:pt idx="4">
                        <c:v>50.634777857984247</c:v>
                      </c:pt>
                      <c:pt idx="5">
                        <c:v>67.168870387904093</c:v>
                      </c:pt>
                      <c:pt idx="6">
                        <c:v>83.260694941797524</c:v>
                      </c:pt>
                      <c:pt idx="7">
                        <c:v>99.032024300674536</c:v>
                      </c:pt>
                      <c:pt idx="8">
                        <c:v>114.36270346321513</c:v>
                      </c:pt>
                      <c:pt idx="9">
                        <c:v>129.38460521664209</c:v>
                      </c:pt>
                      <c:pt idx="10">
                        <c:v>144.05497536093807</c:v>
                      </c:pt>
                      <c:pt idx="11">
                        <c:v>158.39692574583384</c:v>
                      </c:pt>
                      <c:pt idx="12">
                        <c:v>172.46393165764934</c:v>
                      </c:pt>
                      <c:pt idx="13">
                        <c:v>186.53093756946484</c:v>
                      </c:pt>
                      <c:pt idx="14">
                        <c:v>200.59794348128034</c:v>
                      </c:pt>
                      <c:pt idx="15">
                        <c:v>214.66494939309584</c:v>
                      </c:pt>
                      <c:pt idx="16">
                        <c:v>228.73195530491134</c:v>
                      </c:pt>
                      <c:pt idx="17">
                        <c:v>242.79896121672684</c:v>
                      </c:pt>
                      <c:pt idx="18">
                        <c:v>256.86596712854237</c:v>
                      </c:pt>
                      <c:pt idx="19">
                        <c:v>270.93297304035787</c:v>
                      </c:pt>
                      <c:pt idx="20">
                        <c:v>284.99997895217336</c:v>
                      </c:pt>
                      <c:pt idx="21">
                        <c:v>299.06698486398886</c:v>
                      </c:pt>
                      <c:pt idx="22">
                        <c:v>313.13399077580436</c:v>
                      </c:pt>
                      <c:pt idx="23">
                        <c:v>327.20099668761986</c:v>
                      </c:pt>
                      <c:pt idx="24">
                        <c:v>341.26800259943536</c:v>
                      </c:pt>
                      <c:pt idx="25">
                        <c:v>355.33500851125086</c:v>
                      </c:pt>
                      <c:pt idx="26">
                        <c:v>369.40201442306636</c:v>
                      </c:pt>
                      <c:pt idx="27">
                        <c:v>383.46902033488186</c:v>
                      </c:pt>
                      <c:pt idx="28">
                        <c:v>397.53602624669736</c:v>
                      </c:pt>
                      <c:pt idx="29">
                        <c:v>411.60303215851286</c:v>
                      </c:pt>
                      <c:pt idx="30">
                        <c:v>425.67003807032836</c:v>
                      </c:pt>
                      <c:pt idx="31">
                        <c:v>439.73704398214386</c:v>
                      </c:pt>
                      <c:pt idx="32">
                        <c:v>453.80404989395936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1587-4C18-BD0B-495908D78E94}"/>
                  </c:ext>
                </c:extLst>
              </c15:ser>
            </c15:filteredScatterSeries>
            <c15:filteredScatter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GasesSummary!$BC$62</c15:sqref>
                        </c15:formulaRef>
                      </c:ext>
                    </c:extLst>
                    <c:strCache>
                      <c:ptCount val="1"/>
                      <c:pt idx="0">
                        <c:v>GWP100 E69%-A19%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GasesSummary!$BC$63:$BC$95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2">
                        <c:v>60.765480652382145</c:v>
                      </c:pt>
                      <c:pt idx="3">
                        <c:v>126.00901550628086</c:v>
                      </c:pt>
                      <c:pt idx="4">
                        <c:v>187.70561241569649</c:v>
                      </c:pt>
                      <c:pt idx="5">
                        <c:v>246.13616318135226</c:v>
                      </c:pt>
                      <c:pt idx="6">
                        <c:v>300.80396412635179</c:v>
                      </c:pt>
                      <c:pt idx="7">
                        <c:v>351.91409995791838</c:v>
                      </c:pt>
                      <c:pt idx="8">
                        <c:v>399.2642105668163</c:v>
                      </c:pt>
                      <c:pt idx="9">
                        <c:v>443.07639067514998</c:v>
                      </c:pt>
                      <c:pt idx="10">
                        <c:v>483.27863541844647</c:v>
                      </c:pt>
                      <c:pt idx="11">
                        <c:v>519.90986882304492</c:v>
                      </c:pt>
                      <c:pt idx="12">
                        <c:v>553.06015176583128</c:v>
                      </c:pt>
                      <c:pt idx="13">
                        <c:v>585.25627085706901</c:v>
                      </c:pt>
                      <c:pt idx="14">
                        <c:v>616.49822609675823</c:v>
                      </c:pt>
                      <c:pt idx="15">
                        <c:v>646.78601748489893</c:v>
                      </c:pt>
                      <c:pt idx="16">
                        <c:v>676.11964502149112</c:v>
                      </c:pt>
                      <c:pt idx="17">
                        <c:v>704.4991087065348</c:v>
                      </c:pt>
                      <c:pt idx="18">
                        <c:v>731.92440854002984</c:v>
                      </c:pt>
                      <c:pt idx="19">
                        <c:v>758.39554452197638</c:v>
                      </c:pt>
                      <c:pt idx="20">
                        <c:v>783.91251665237439</c:v>
                      </c:pt>
                      <c:pt idx="21">
                        <c:v>808.47532493122389</c:v>
                      </c:pt>
                      <c:pt idx="22">
                        <c:v>832.08396935852477</c:v>
                      </c:pt>
                      <c:pt idx="23">
                        <c:v>854.73844993427713</c:v>
                      </c:pt>
                      <c:pt idx="24">
                        <c:v>876.43876665848097</c:v>
                      </c:pt>
                      <c:pt idx="25">
                        <c:v>897.1849195311363</c:v>
                      </c:pt>
                      <c:pt idx="26">
                        <c:v>916.976908552243</c:v>
                      </c:pt>
                      <c:pt idx="27">
                        <c:v>935.81473372180119</c:v>
                      </c:pt>
                      <c:pt idx="28">
                        <c:v>953.69839503981086</c:v>
                      </c:pt>
                      <c:pt idx="29">
                        <c:v>970.62789250627202</c:v>
                      </c:pt>
                      <c:pt idx="30">
                        <c:v>986.60322612118466</c:v>
                      </c:pt>
                      <c:pt idx="31">
                        <c:v>1001.6243958845487</c:v>
                      </c:pt>
                      <c:pt idx="32">
                        <c:v>1015.6914017963642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1587-4C18-BD0B-495908D78E94}"/>
                  </c:ext>
                </c:extLst>
              </c15:ser>
            </c15:filteredScatterSeries>
            <c15:filteredScatte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GasesSummary!$BD$63:$BD$95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1587-4C18-BD0B-495908D78E94}"/>
                  </c:ext>
                </c:extLst>
              </c15:ser>
            </c15:filteredScatterSeries>
            <c15:filteredScatterSeries>
              <c15:ser>
                <c:idx val="47"/>
                <c:order val="4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GasesSummary!$BE$63:$BE$95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1587-4C18-BD0B-495908D78E94}"/>
                  </c:ext>
                </c:extLst>
              </c15:ser>
            </c15:filteredScatterSeries>
            <c15:filteredScatterSeries>
              <c15:ser>
                <c:idx val="49"/>
                <c:order val="4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GasesSummary!$BG$63:$BG$95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1587-4C18-BD0B-495908D78E94}"/>
                  </c:ext>
                </c:extLst>
              </c15:ser>
            </c15:filteredScatterSeries>
            <c15:filteredScatterSeries>
              <c15:ser>
                <c:idx val="50"/>
                <c:order val="5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GasesSummary!$BH$62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GasesSummary!$BH$63:$BH$95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1587-4C18-BD0B-495908D78E94}"/>
                  </c:ext>
                </c:extLst>
              </c15:ser>
            </c15:filteredScatterSeries>
            <c15:filteredScatterSeries>
              <c15:ser>
                <c:idx val="51"/>
                <c:order val="5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GasesSummary!$BI$63:$BI$95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1587-4C18-BD0B-495908D78E94}"/>
                  </c:ext>
                </c:extLst>
              </c15:ser>
            </c15:filteredScatterSeries>
            <c15:filteredScatterSeries>
              <c15:ser>
                <c:idx val="52"/>
                <c:order val="5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GasesSummary!$BJ$63:$BJ$95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1587-4C18-BD0B-495908D78E94}"/>
                  </c:ext>
                </c:extLst>
              </c15:ser>
            </c15:filteredScatterSeries>
            <c15:filteredScatterSeries>
              <c15:ser>
                <c:idx val="53"/>
                <c:order val="5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GasesSummary!$BK$63:$BK$95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1587-4C18-BD0B-495908D78E94}"/>
                  </c:ext>
                </c:extLst>
              </c15:ser>
            </c15:filteredScatterSeries>
            <c15:filteredScatterSeries>
              <c15:ser>
                <c:idx val="55"/>
                <c:order val="5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GasesSummary!$BM$63:$BM$95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1587-4C18-BD0B-495908D78E94}"/>
                  </c:ext>
                </c:extLst>
              </c15:ser>
            </c15:filteredScatterSeries>
            <c15:filteredScatterSeries>
              <c15:ser>
                <c:idx val="56"/>
                <c:order val="5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GasesSummary!$BN$63:$BN$95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1587-4C18-BD0B-495908D78E94}"/>
                  </c:ext>
                </c:extLst>
              </c15:ser>
            </c15:filteredScatterSeries>
            <c15:filteredScatterSeries>
              <c15:ser>
                <c:idx val="57"/>
                <c:order val="5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GasesSummary!$I$63:$I$95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GasesSummary!$BO$63:$BO$95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1587-4C18-BD0B-495908D78E94}"/>
                  </c:ext>
                </c:extLst>
              </c15:ser>
            </c15:filteredScatterSeries>
          </c:ext>
        </c:extLst>
      </c:scatterChart>
      <c:valAx>
        <c:axId val="639120224"/>
        <c:scaling>
          <c:orientation val="minMax"/>
          <c:max val="20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26784"/>
        <c:crosses val="autoZero"/>
        <c:crossBetween val="midCat"/>
      </c:valAx>
      <c:valAx>
        <c:axId val="6391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12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emissions of CO</a:t>
            </a:r>
            <a:r>
              <a:rPr lang="en-US" baseline="-25000"/>
              <a:t>2</a:t>
            </a:r>
            <a:r>
              <a:rPr lang="en-US"/>
              <a:t>, N</a:t>
            </a:r>
            <a:r>
              <a:rPr lang="en-US" baseline="-25000"/>
              <a:t>2</a:t>
            </a:r>
            <a:r>
              <a:rPr lang="en-US"/>
              <a:t>O </a:t>
            </a:r>
          </a:p>
          <a:p>
            <a:pPr>
              <a:defRPr/>
            </a:pPr>
            <a:r>
              <a:rPr lang="en-US"/>
              <a:t>and Removals combined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GasesSummary!$B$62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GasesSummary!$A$63:$A$95</c:f>
              <c:numCache>
                <c:formatCode>General</c:formatCode>
                <c:ptCount val="33"/>
              </c:numCache>
            </c:numRef>
          </c:xVal>
          <c:yVal>
            <c:numRef>
              <c:f>GasesSummary!$B$63:$B$95</c:f>
              <c:numCache>
                <c:formatCode>General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6-45DD-833F-EBDDABEA83C3}"/>
            </c:ext>
          </c:extLst>
        </c:ser>
        <c:ser>
          <c:idx val="1"/>
          <c:order val="1"/>
          <c:tx>
            <c:strRef>
              <c:f>GasesSummary!$C$62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GasesSummary!$A$63:$A$95</c:f>
              <c:numCache>
                <c:formatCode>General</c:formatCode>
                <c:ptCount val="33"/>
              </c:numCache>
            </c:numRef>
          </c:xVal>
          <c:yVal>
            <c:numRef>
              <c:f>GasesSummary!$C$63:$C$95</c:f>
              <c:numCache>
                <c:formatCode>General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6-45DD-833F-EBDDABEA83C3}"/>
            </c:ext>
          </c:extLst>
        </c:ser>
        <c:ser>
          <c:idx val="2"/>
          <c:order val="2"/>
          <c:tx>
            <c:strRef>
              <c:f>GasesSummary!$D$62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GasesSummary!$A$63:$A$95</c:f>
              <c:numCache>
                <c:formatCode>General</c:formatCode>
                <c:ptCount val="33"/>
              </c:numCache>
            </c:numRef>
          </c:xVal>
          <c:yVal>
            <c:numRef>
              <c:f>GasesSummary!$D$63:$D$95</c:f>
              <c:numCache>
                <c:formatCode>General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66-45DD-833F-EBDDABEA83C3}"/>
            </c:ext>
          </c:extLst>
        </c:ser>
        <c:ser>
          <c:idx val="3"/>
          <c:order val="3"/>
          <c:tx>
            <c:strRef>
              <c:f>GasesSummary!$E$62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GasesSummary!$A$63:$A$95</c:f>
              <c:numCache>
                <c:formatCode>General</c:formatCode>
                <c:ptCount val="33"/>
              </c:numCache>
            </c:numRef>
          </c:xVal>
          <c:yVal>
            <c:numRef>
              <c:f>GasesSummary!$E$63:$E$95</c:f>
              <c:numCache>
                <c:formatCode>General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66-45DD-833F-EBDDABEA83C3}"/>
            </c:ext>
          </c:extLst>
        </c:ser>
        <c:ser>
          <c:idx val="4"/>
          <c:order val="4"/>
          <c:tx>
            <c:strRef>
              <c:f>GasesSummary!$F$62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GasesSummary!$A$63:$A$95</c:f>
              <c:numCache>
                <c:formatCode>General</c:formatCode>
                <c:ptCount val="33"/>
              </c:numCache>
            </c:numRef>
          </c:xVal>
          <c:yVal>
            <c:numRef>
              <c:f>GasesSummary!$F$63:$F$95</c:f>
              <c:numCache>
                <c:formatCode>General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66-45DD-833F-EBDDABEA83C3}"/>
            </c:ext>
          </c:extLst>
        </c:ser>
        <c:ser>
          <c:idx val="5"/>
          <c:order val="5"/>
          <c:tx>
            <c:strRef>
              <c:f>GasesSummary!$G$62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GasesSummary!$A$63:$A$95</c:f>
              <c:numCache>
                <c:formatCode>General</c:formatCode>
                <c:ptCount val="33"/>
              </c:numCache>
            </c:numRef>
          </c:xVal>
          <c:yVal>
            <c:numRef>
              <c:f>GasesSummary!$G$63:$G$95</c:f>
              <c:numCache>
                <c:formatCode>General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66-45DD-833F-EBDDABEA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7246415"/>
        <c:axId val="992914047"/>
      </c:scatterChart>
      <c:valAx>
        <c:axId val="1787246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914047"/>
        <c:crosses val="autoZero"/>
        <c:crossBetween val="midCat"/>
      </c:valAx>
      <c:valAx>
        <c:axId val="99291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Cummulative emissions</a:t>
                </a:r>
              </a:p>
              <a:p>
                <a:pPr>
                  <a:defRPr/>
                </a:pPr>
                <a:r>
                  <a:rPr lang="en-US"/>
                  <a:t> (CO2eq GWP100)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72464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GasesSummary!$EA$8</c:f>
              <c:strCache>
                <c:ptCount val="1"/>
                <c:pt idx="0">
                  <c:v>E51%-A51%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GasesSummary!$DZ$9:$DZ$41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GasesSummary!$EA$9:$EA$41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-0.16651778929797273</c:v>
                </c:pt>
                <c:pt idx="14">
                  <c:v>-0.49955336789391819</c:v>
                </c:pt>
                <c:pt idx="15">
                  <c:v>-0.99910673578783638</c:v>
                </c:pt>
                <c:pt idx="16">
                  <c:v>-1.6651778929797274</c:v>
                </c:pt>
                <c:pt idx="17">
                  <c:v>-2.4977668394695911</c:v>
                </c:pt>
                <c:pt idx="18">
                  <c:v>-3.4968735752574274</c:v>
                </c:pt>
                <c:pt idx="19">
                  <c:v>-4.6624981003432371</c:v>
                </c:pt>
                <c:pt idx="20">
                  <c:v>-5.9946404147270194</c:v>
                </c:pt>
                <c:pt idx="21">
                  <c:v>-7.4933005184087742</c:v>
                </c:pt>
                <c:pt idx="22">
                  <c:v>-9.1584784113885025</c:v>
                </c:pt>
                <c:pt idx="23">
                  <c:v>-10.990174093666203</c:v>
                </c:pt>
                <c:pt idx="24">
                  <c:v>-12.988387565241876</c:v>
                </c:pt>
                <c:pt idx="25">
                  <c:v>-15.153118826115522</c:v>
                </c:pt>
                <c:pt idx="26">
                  <c:v>-17.484367876287141</c:v>
                </c:pt>
                <c:pt idx="27">
                  <c:v>-19.982134715756732</c:v>
                </c:pt>
                <c:pt idx="28">
                  <c:v>-22.646419344524297</c:v>
                </c:pt>
                <c:pt idx="29">
                  <c:v>-25.477221762589835</c:v>
                </c:pt>
                <c:pt idx="30">
                  <c:v>-28.474541969953343</c:v>
                </c:pt>
                <c:pt idx="31">
                  <c:v>-31.638379966614824</c:v>
                </c:pt>
                <c:pt idx="32">
                  <c:v>-34.968735752574275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FF-4D1C-B3BC-F69AE95AF5B3}"/>
            </c:ext>
          </c:extLst>
        </c:ser>
        <c:ser>
          <c:idx val="1"/>
          <c:order val="1"/>
          <c:tx>
            <c:strRef>
              <c:f>GasesSummary!$EB$8</c:f>
              <c:strCache>
                <c:ptCount val="1"/>
                <c:pt idx="0">
                  <c:v>E57%-A40%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GasesSummary!$DZ$9:$DZ$41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GasesSummary!$EB$9:$EB$41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-0.20199624254627588</c:v>
                </c:pt>
                <c:pt idx="14">
                  <c:v>-0.60598872763882761</c:v>
                </c:pt>
                <c:pt idx="15">
                  <c:v>-1.2119774552776552</c:v>
                </c:pt>
                <c:pt idx="16">
                  <c:v>-2.0199624254627588</c:v>
                </c:pt>
                <c:pt idx="17">
                  <c:v>-3.0299436381941383</c:v>
                </c:pt>
                <c:pt idx="18">
                  <c:v>-4.2419210934717935</c:v>
                </c:pt>
                <c:pt idx="19">
                  <c:v>-5.655894791295724</c:v>
                </c:pt>
                <c:pt idx="20">
                  <c:v>-7.2718647316659304</c:v>
                </c:pt>
                <c:pt idx="21">
                  <c:v>-9.0898309145824125</c:v>
                </c:pt>
                <c:pt idx="22">
                  <c:v>-11.10979334004517</c:v>
                </c:pt>
                <c:pt idx="23">
                  <c:v>-13.331752008054204</c:v>
                </c:pt>
                <c:pt idx="24">
                  <c:v>-15.755706918609514</c:v>
                </c:pt>
                <c:pt idx="25">
                  <c:v>-18.381658071711101</c:v>
                </c:pt>
                <c:pt idx="26">
                  <c:v>-21.209605467358962</c:v>
                </c:pt>
                <c:pt idx="27">
                  <c:v>-24.239549105553099</c:v>
                </c:pt>
                <c:pt idx="28">
                  <c:v>-27.471488986293512</c:v>
                </c:pt>
                <c:pt idx="29">
                  <c:v>-30.9054251095802</c:v>
                </c:pt>
                <c:pt idx="30">
                  <c:v>-34.541357475413164</c:v>
                </c:pt>
                <c:pt idx="31">
                  <c:v>-38.379286083792408</c:v>
                </c:pt>
                <c:pt idx="32">
                  <c:v>-42.419210934717924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FF-4D1C-B3BC-F69AE95AF5B3}"/>
            </c:ext>
          </c:extLst>
        </c:ser>
        <c:ser>
          <c:idx val="2"/>
          <c:order val="2"/>
          <c:tx>
            <c:strRef>
              <c:f>GasesSummary!$EC$8</c:f>
              <c:strCache>
                <c:ptCount val="1"/>
                <c:pt idx="0">
                  <c:v>E61%-A33%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GasesSummary!$DZ$9:$DZ$41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GasesSummary!$EC$9:$EC$41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-0.22457344006792335</c:v>
                </c:pt>
                <c:pt idx="14">
                  <c:v>-0.67372032020377004</c:v>
                </c:pt>
                <c:pt idx="15">
                  <c:v>-1.3474406404075401</c:v>
                </c:pt>
                <c:pt idx="16">
                  <c:v>-2.2457344006792335</c:v>
                </c:pt>
                <c:pt idx="17">
                  <c:v>-3.3686016010188502</c:v>
                </c:pt>
                <c:pt idx="18">
                  <c:v>-4.7160422414263898</c:v>
                </c:pt>
                <c:pt idx="19">
                  <c:v>-6.2880563219018537</c:v>
                </c:pt>
                <c:pt idx="20">
                  <c:v>-8.0846438424452405</c:v>
                </c:pt>
                <c:pt idx="21">
                  <c:v>-10.10580480305655</c:v>
                </c:pt>
                <c:pt idx="22">
                  <c:v>-12.351539203735783</c:v>
                </c:pt>
                <c:pt idx="23">
                  <c:v>-14.82184704448294</c:v>
                </c:pt>
                <c:pt idx="24">
                  <c:v>-17.516728325298018</c:v>
                </c:pt>
                <c:pt idx="25">
                  <c:v>-20.436183046181021</c:v>
                </c:pt>
                <c:pt idx="26">
                  <c:v>-23.580211207131949</c:v>
                </c:pt>
                <c:pt idx="27">
                  <c:v>-26.948812808150798</c:v>
                </c:pt>
                <c:pt idx="28">
                  <c:v>-30.541987849237572</c:v>
                </c:pt>
                <c:pt idx="29">
                  <c:v>-34.359736330392266</c:v>
                </c:pt>
                <c:pt idx="30">
                  <c:v>-38.402058251614889</c:v>
                </c:pt>
                <c:pt idx="31">
                  <c:v>-42.668953612905433</c:v>
                </c:pt>
                <c:pt idx="32">
                  <c:v>-47.160422414263898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FF-4D1C-B3BC-F69AE95AF5B3}"/>
            </c:ext>
          </c:extLst>
        </c:ser>
        <c:ser>
          <c:idx val="3"/>
          <c:order val="3"/>
          <c:tx>
            <c:strRef>
              <c:f>GasesSummary!$ED$8</c:f>
              <c:strCache>
                <c:ptCount val="1"/>
                <c:pt idx="0">
                  <c:v>E65%-A26%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GasesSummary!$DZ$9:$DZ$41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GasesSummary!$ED$9:$ED$41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-0.24715063758957084</c:v>
                </c:pt>
                <c:pt idx="14">
                  <c:v>-0.74145191276871247</c:v>
                </c:pt>
                <c:pt idx="15">
                  <c:v>-1.4829038255374249</c:v>
                </c:pt>
                <c:pt idx="16">
                  <c:v>-2.4715063758957081</c:v>
                </c:pt>
                <c:pt idx="17">
                  <c:v>-3.7072595638435626</c:v>
                </c:pt>
                <c:pt idx="18">
                  <c:v>-5.190163389380988</c:v>
                </c:pt>
                <c:pt idx="19">
                  <c:v>-6.9202178525079843</c:v>
                </c:pt>
                <c:pt idx="20">
                  <c:v>-8.8974229532245506</c:v>
                </c:pt>
                <c:pt idx="21">
                  <c:v>-11.121778691530688</c:v>
                </c:pt>
                <c:pt idx="22">
                  <c:v>-13.593285067426397</c:v>
                </c:pt>
                <c:pt idx="23">
                  <c:v>-16.311942080911678</c:v>
                </c:pt>
                <c:pt idx="24">
                  <c:v>-19.277749731986528</c:v>
                </c:pt>
                <c:pt idx="25">
                  <c:v>-22.490708020650949</c:v>
                </c:pt>
                <c:pt idx="26">
                  <c:v>-25.95081694690494</c:v>
                </c:pt>
                <c:pt idx="27">
                  <c:v>-29.658076510748504</c:v>
                </c:pt>
                <c:pt idx="28">
                  <c:v>-33.612486712181635</c:v>
                </c:pt>
                <c:pt idx="29">
                  <c:v>-37.814047551204339</c:v>
                </c:pt>
                <c:pt idx="30">
                  <c:v>-42.262759027816614</c:v>
                </c:pt>
                <c:pt idx="31">
                  <c:v>-46.958621142018458</c:v>
                </c:pt>
                <c:pt idx="32">
                  <c:v>-51.901633893809873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FF-4D1C-B3BC-F69AE95AF5B3}"/>
            </c:ext>
          </c:extLst>
        </c:ser>
        <c:ser>
          <c:idx val="4"/>
          <c:order val="4"/>
          <c:tx>
            <c:strRef>
              <c:f>GasesSummary!$EE$8</c:f>
              <c:strCache>
                <c:ptCount val="1"/>
                <c:pt idx="0">
                  <c:v>E69%-A19%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GasesSummary!$DZ$9:$DZ$41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GasesSummary!$EE$9:$EE$41</c:f>
              <c:numCache>
                <c:formatCode>0.0</c:formatCode>
                <c:ptCount val="3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-0.27134049207705008</c:v>
                </c:pt>
                <c:pt idx="14">
                  <c:v>-0.81402147623115018</c:v>
                </c:pt>
                <c:pt idx="15">
                  <c:v>-1.6280429524623004</c:v>
                </c:pt>
                <c:pt idx="16">
                  <c:v>-2.7134049207705004</c:v>
                </c:pt>
                <c:pt idx="17">
                  <c:v>-4.0701073811557507</c:v>
                </c:pt>
                <c:pt idx="18">
                  <c:v>-5.6981503336180515</c:v>
                </c:pt>
                <c:pt idx="19">
                  <c:v>-7.5975337781574019</c:v>
                </c:pt>
                <c:pt idx="20">
                  <c:v>-9.768257714773803</c:v>
                </c:pt>
                <c:pt idx="21">
                  <c:v>-12.210322143467254</c:v>
                </c:pt>
                <c:pt idx="22">
                  <c:v>-14.923727064237754</c:v>
                </c:pt>
                <c:pt idx="23">
                  <c:v>-17.908472477085304</c:v>
                </c:pt>
                <c:pt idx="24">
                  <c:v>-21.164558382009904</c:v>
                </c:pt>
                <c:pt idx="25">
                  <c:v>-24.691984779011555</c:v>
                </c:pt>
                <c:pt idx="26">
                  <c:v>-28.490751668090258</c:v>
                </c:pt>
                <c:pt idx="27">
                  <c:v>-32.560859049246012</c:v>
                </c:pt>
                <c:pt idx="28">
                  <c:v>-36.902306922478814</c:v>
                </c:pt>
                <c:pt idx="29">
                  <c:v>-41.515095287788668</c:v>
                </c:pt>
                <c:pt idx="30">
                  <c:v>-46.399224145175566</c:v>
                </c:pt>
                <c:pt idx="31">
                  <c:v>-51.554693494639515</c:v>
                </c:pt>
                <c:pt idx="32">
                  <c:v>-56.981503336180516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FF-4D1C-B3BC-F69AE95AF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451487"/>
        <c:axId val="1922597871"/>
      </c:scatterChart>
      <c:valAx>
        <c:axId val="179745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597871"/>
        <c:crosses val="autoZero"/>
        <c:crossBetween val="midCat"/>
      </c:valAx>
      <c:valAx>
        <c:axId val="1922597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4514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Annual removals requried to balance residual emissions of Nitrous Oxide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GasesSummary!$DT$8</c:f>
              <c:strCache>
                <c:ptCount val="1"/>
                <c:pt idx="0">
                  <c:v>E51%-A51%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4-4AC1-B774-131D25866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GasesSummary!$DS$9:$DS$51</c:f>
              <c:numCache>
                <c:formatCode>0</c:formatCode>
                <c:ptCount val="4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</c:numCache>
            </c:numRef>
          </c:xVal>
          <c:yVal>
            <c:numRef>
              <c:f>GasesSummary!$DT$9:$DT$51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-0.16651778929797273</c:v>
                </c:pt>
                <c:pt idx="14">
                  <c:v>-0.33303557859594546</c:v>
                </c:pt>
                <c:pt idx="15">
                  <c:v>-0.49955336789391819</c:v>
                </c:pt>
                <c:pt idx="16">
                  <c:v>-0.66607115719189092</c:v>
                </c:pt>
                <c:pt idx="17">
                  <c:v>-0.8325889464898637</c:v>
                </c:pt>
                <c:pt idx="18">
                  <c:v>-0.99910673578783649</c:v>
                </c:pt>
                <c:pt idx="19">
                  <c:v>-1.1656245250858093</c:v>
                </c:pt>
                <c:pt idx="20">
                  <c:v>-1.3321423143837821</c:v>
                </c:pt>
                <c:pt idx="21">
                  <c:v>-1.4986601036817548</c:v>
                </c:pt>
                <c:pt idx="22">
                  <c:v>-1.6651778929797276</c:v>
                </c:pt>
                <c:pt idx="23">
                  <c:v>-1.8316956822777004</c:v>
                </c:pt>
                <c:pt idx="24">
                  <c:v>-1.9982134715756732</c:v>
                </c:pt>
                <c:pt idx="25">
                  <c:v>-2.164731260873646</c:v>
                </c:pt>
                <c:pt idx="26">
                  <c:v>-2.3312490501716185</c:v>
                </c:pt>
                <c:pt idx="27">
                  <c:v>-2.4977668394695911</c:v>
                </c:pt>
                <c:pt idx="28">
                  <c:v>-2.6642846287675637</c:v>
                </c:pt>
                <c:pt idx="29">
                  <c:v>-2.8308024180655362</c:v>
                </c:pt>
                <c:pt idx="30">
                  <c:v>-2.9973202073635088</c:v>
                </c:pt>
                <c:pt idx="31">
                  <c:v>-3.1638379966614814</c:v>
                </c:pt>
                <c:pt idx="32">
                  <c:v>-3.3303557859594539</c:v>
                </c:pt>
                <c:pt idx="33">
                  <c:v>-3.3303557859594539</c:v>
                </c:pt>
                <c:pt idx="34">
                  <c:v>-3.3303557859594539</c:v>
                </c:pt>
                <c:pt idx="35">
                  <c:v>-3.3303557859594539</c:v>
                </c:pt>
                <c:pt idx="36">
                  <c:v>-3.3303557859594539</c:v>
                </c:pt>
                <c:pt idx="37">
                  <c:v>-3.3303557859594539</c:v>
                </c:pt>
                <c:pt idx="38">
                  <c:v>-3.3303557859594539</c:v>
                </c:pt>
                <c:pt idx="39">
                  <c:v>-3.3303557859594539</c:v>
                </c:pt>
                <c:pt idx="40">
                  <c:v>-3.3303557859594539</c:v>
                </c:pt>
                <c:pt idx="41">
                  <c:v>-3.3303557859594539</c:v>
                </c:pt>
                <c:pt idx="42">
                  <c:v>-3.3303557859594539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B4-4AC1-B774-131D25866E8D}"/>
            </c:ext>
          </c:extLst>
        </c:ser>
        <c:ser>
          <c:idx val="1"/>
          <c:order val="1"/>
          <c:tx>
            <c:strRef>
              <c:f>GasesSummary!$DU$8</c:f>
              <c:strCache>
                <c:ptCount val="1"/>
                <c:pt idx="0">
                  <c:v>E57%-A40%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B4-4AC1-B774-131D25866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GasesSummary!$DS$9:$DS$51</c:f>
              <c:numCache>
                <c:formatCode>0</c:formatCode>
                <c:ptCount val="4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</c:numCache>
            </c:numRef>
          </c:xVal>
          <c:yVal>
            <c:numRef>
              <c:f>GasesSummary!$DU$9:$DU$51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-0.20199624254627588</c:v>
                </c:pt>
                <c:pt idx="14">
                  <c:v>-0.40399248509255176</c:v>
                </c:pt>
                <c:pt idx="15">
                  <c:v>-0.60598872763882761</c:v>
                </c:pt>
                <c:pt idx="16">
                  <c:v>-0.80798497018510351</c:v>
                </c:pt>
                <c:pt idx="17">
                  <c:v>-1.0099812127313794</c:v>
                </c:pt>
                <c:pt idx="18">
                  <c:v>-1.2119774552776552</c:v>
                </c:pt>
                <c:pt idx="19">
                  <c:v>-1.413973697823931</c:v>
                </c:pt>
                <c:pt idx="20">
                  <c:v>-1.6159699403702068</c:v>
                </c:pt>
                <c:pt idx="21">
                  <c:v>-1.8179661829164826</c:v>
                </c:pt>
                <c:pt idx="22">
                  <c:v>-2.0199624254627584</c:v>
                </c:pt>
                <c:pt idx="23">
                  <c:v>-2.2219586680090342</c:v>
                </c:pt>
                <c:pt idx="24">
                  <c:v>-2.42395491055531</c:v>
                </c:pt>
                <c:pt idx="25">
                  <c:v>-2.6259511531015858</c:v>
                </c:pt>
                <c:pt idx="26">
                  <c:v>-2.8279473956478616</c:v>
                </c:pt>
                <c:pt idx="27">
                  <c:v>-3.0299436381941374</c:v>
                </c:pt>
                <c:pt idx="28">
                  <c:v>-3.2319398807404132</c:v>
                </c:pt>
                <c:pt idx="29">
                  <c:v>-3.433936123286689</c:v>
                </c:pt>
                <c:pt idx="30">
                  <c:v>-3.6359323658329648</c:v>
                </c:pt>
                <c:pt idx="31">
                  <c:v>-3.8379286083792405</c:v>
                </c:pt>
                <c:pt idx="32">
                  <c:v>-4.0399248509255168</c:v>
                </c:pt>
                <c:pt idx="33">
                  <c:v>-4.0399248509255168</c:v>
                </c:pt>
                <c:pt idx="34">
                  <c:v>-4.0399248509255168</c:v>
                </c:pt>
                <c:pt idx="35">
                  <c:v>-4.0399248509255168</c:v>
                </c:pt>
                <c:pt idx="36">
                  <c:v>-4.0399248509255168</c:v>
                </c:pt>
                <c:pt idx="37">
                  <c:v>-4.0399248509255168</c:v>
                </c:pt>
                <c:pt idx="38">
                  <c:v>-4.0399248509255168</c:v>
                </c:pt>
                <c:pt idx="39">
                  <c:v>-4.0399248509255168</c:v>
                </c:pt>
                <c:pt idx="40">
                  <c:v>-4.0399248509255168</c:v>
                </c:pt>
                <c:pt idx="41">
                  <c:v>-4.0399248509255168</c:v>
                </c:pt>
                <c:pt idx="42">
                  <c:v>-4.0399248509255168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B4-4AC1-B774-131D25866E8D}"/>
            </c:ext>
          </c:extLst>
        </c:ser>
        <c:ser>
          <c:idx val="2"/>
          <c:order val="2"/>
          <c:tx>
            <c:strRef>
              <c:f>GasesSummary!$DV$8</c:f>
              <c:strCache>
                <c:ptCount val="1"/>
                <c:pt idx="0">
                  <c:v>E61%-A33%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B4-4AC1-B774-131D25866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GasesSummary!$DS$9:$DS$51</c:f>
              <c:numCache>
                <c:formatCode>0</c:formatCode>
                <c:ptCount val="4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</c:numCache>
            </c:numRef>
          </c:xVal>
          <c:yVal>
            <c:numRef>
              <c:f>GasesSummary!$DV$9:$DV$51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-0.22457344006792335</c:v>
                </c:pt>
                <c:pt idx="14">
                  <c:v>-0.44914688013584669</c:v>
                </c:pt>
                <c:pt idx="15">
                  <c:v>-0.67372032020377004</c:v>
                </c:pt>
                <c:pt idx="16">
                  <c:v>-0.89829376027169339</c:v>
                </c:pt>
                <c:pt idx="17">
                  <c:v>-1.1228672003396167</c:v>
                </c:pt>
                <c:pt idx="18">
                  <c:v>-1.3474406404075401</c:v>
                </c:pt>
                <c:pt idx="19">
                  <c:v>-1.5720140804754634</c:v>
                </c:pt>
                <c:pt idx="20">
                  <c:v>-1.7965875205433868</c:v>
                </c:pt>
                <c:pt idx="21">
                  <c:v>-2.0211609606113101</c:v>
                </c:pt>
                <c:pt idx="22">
                  <c:v>-2.2457344006792335</c:v>
                </c:pt>
                <c:pt idx="23">
                  <c:v>-2.4703078407471568</c:v>
                </c:pt>
                <c:pt idx="24">
                  <c:v>-2.6948812808150802</c:v>
                </c:pt>
                <c:pt idx="25">
                  <c:v>-2.9194547208830035</c:v>
                </c:pt>
                <c:pt idx="26">
                  <c:v>-3.1440281609509269</c:v>
                </c:pt>
                <c:pt idx="27">
                  <c:v>-3.3686016010188502</c:v>
                </c:pt>
                <c:pt idx="28">
                  <c:v>-3.5931750410867735</c:v>
                </c:pt>
                <c:pt idx="29">
                  <c:v>-3.8177484811546969</c:v>
                </c:pt>
                <c:pt idx="30">
                  <c:v>-4.0423219212226202</c:v>
                </c:pt>
                <c:pt idx="31">
                  <c:v>-4.266895361290544</c:v>
                </c:pt>
                <c:pt idx="32">
                  <c:v>-4.4914688013584669</c:v>
                </c:pt>
                <c:pt idx="33">
                  <c:v>-4.4914688013584669</c:v>
                </c:pt>
                <c:pt idx="34">
                  <c:v>-4.4914688013584669</c:v>
                </c:pt>
                <c:pt idx="35">
                  <c:v>-4.4914688013584669</c:v>
                </c:pt>
                <c:pt idx="36">
                  <c:v>-4.4914688013584669</c:v>
                </c:pt>
                <c:pt idx="37">
                  <c:v>-4.4914688013584669</c:v>
                </c:pt>
                <c:pt idx="38">
                  <c:v>-4.4914688013584669</c:v>
                </c:pt>
                <c:pt idx="39">
                  <c:v>-4.4914688013584669</c:v>
                </c:pt>
                <c:pt idx="40">
                  <c:v>-4.4914688013584669</c:v>
                </c:pt>
                <c:pt idx="41">
                  <c:v>-4.4914688013584669</c:v>
                </c:pt>
                <c:pt idx="42">
                  <c:v>-4.4914688013584669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B4-4AC1-B774-131D25866E8D}"/>
            </c:ext>
          </c:extLst>
        </c:ser>
        <c:ser>
          <c:idx val="3"/>
          <c:order val="3"/>
          <c:tx>
            <c:strRef>
              <c:f>GasesSummary!$DW$8</c:f>
              <c:strCache>
                <c:ptCount val="1"/>
                <c:pt idx="0">
                  <c:v>E65%-A26%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B4-4AC1-B774-131D25866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GasesSummary!$DS$9:$DS$51</c:f>
              <c:numCache>
                <c:formatCode>0</c:formatCode>
                <c:ptCount val="4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</c:numCache>
            </c:numRef>
          </c:xVal>
          <c:yVal>
            <c:numRef>
              <c:f>GasesSummary!$DW$9:$DW$51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-0.24715063758957084</c:v>
                </c:pt>
                <c:pt idx="14">
                  <c:v>-0.49430127517914169</c:v>
                </c:pt>
                <c:pt idx="15">
                  <c:v>-0.74145191276871247</c:v>
                </c:pt>
                <c:pt idx="16">
                  <c:v>-0.98860255035828337</c:v>
                </c:pt>
                <c:pt idx="17">
                  <c:v>-1.2357531879478543</c:v>
                </c:pt>
                <c:pt idx="18">
                  <c:v>-1.4829038255374252</c:v>
                </c:pt>
                <c:pt idx="19">
                  <c:v>-1.7300544631269961</c:v>
                </c:pt>
                <c:pt idx="20">
                  <c:v>-1.977205100716567</c:v>
                </c:pt>
                <c:pt idx="21">
                  <c:v>-2.2243557383061376</c:v>
                </c:pt>
                <c:pt idx="22">
                  <c:v>-2.4715063758957085</c:v>
                </c:pt>
                <c:pt idx="23">
                  <c:v>-2.7186570134852794</c:v>
                </c:pt>
                <c:pt idx="24">
                  <c:v>-2.9658076510748503</c:v>
                </c:pt>
                <c:pt idx="25">
                  <c:v>-3.2129582886644212</c:v>
                </c:pt>
                <c:pt idx="26">
                  <c:v>-3.4601089262539921</c:v>
                </c:pt>
                <c:pt idx="27">
                  <c:v>-3.707259563843563</c:v>
                </c:pt>
                <c:pt idx="28">
                  <c:v>-3.9544102014331339</c:v>
                </c:pt>
                <c:pt idx="29">
                  <c:v>-4.2015608390227044</c:v>
                </c:pt>
                <c:pt idx="30">
                  <c:v>-4.4487114766122753</c:v>
                </c:pt>
                <c:pt idx="31">
                  <c:v>-4.6958621142018462</c:v>
                </c:pt>
                <c:pt idx="32">
                  <c:v>-4.9430127517914171</c:v>
                </c:pt>
                <c:pt idx="33">
                  <c:v>-4.9430127517914171</c:v>
                </c:pt>
                <c:pt idx="34">
                  <c:v>-4.9430127517914171</c:v>
                </c:pt>
                <c:pt idx="35">
                  <c:v>-4.9430127517914171</c:v>
                </c:pt>
                <c:pt idx="36">
                  <c:v>-4.9430127517914171</c:v>
                </c:pt>
                <c:pt idx="37">
                  <c:v>-4.9430127517914171</c:v>
                </c:pt>
                <c:pt idx="38">
                  <c:v>-4.9430127517914171</c:v>
                </c:pt>
                <c:pt idx="39">
                  <c:v>-4.9430127517914171</c:v>
                </c:pt>
                <c:pt idx="40">
                  <c:v>-4.9430127517914171</c:v>
                </c:pt>
                <c:pt idx="41">
                  <c:v>-4.9430127517914171</c:v>
                </c:pt>
                <c:pt idx="42">
                  <c:v>-4.9430127517914171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B4-4AC1-B774-131D25866E8D}"/>
            </c:ext>
          </c:extLst>
        </c:ser>
        <c:ser>
          <c:idx val="4"/>
          <c:order val="4"/>
          <c:tx>
            <c:strRef>
              <c:f>GasesSummary!$DX$8</c:f>
              <c:strCache>
                <c:ptCount val="1"/>
                <c:pt idx="0">
                  <c:v>E69%-A19%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B4-4AC1-B774-131D25866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GasesSummary!$DS$9:$DS$51</c:f>
              <c:numCache>
                <c:formatCode>0</c:formatCode>
                <c:ptCount val="4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</c:numCache>
            </c:numRef>
          </c:xVal>
          <c:yVal>
            <c:numRef>
              <c:f>GasesSummary!$DX$9:$DX$51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-0.27134049207705008</c:v>
                </c:pt>
                <c:pt idx="14">
                  <c:v>-0.54268098415410015</c:v>
                </c:pt>
                <c:pt idx="15">
                  <c:v>-0.81402147623115018</c:v>
                </c:pt>
                <c:pt idx="16">
                  <c:v>-1.0853619683082003</c:v>
                </c:pt>
                <c:pt idx="17">
                  <c:v>-1.3567024603852504</c:v>
                </c:pt>
                <c:pt idx="18">
                  <c:v>-1.6280429524623006</c:v>
                </c:pt>
                <c:pt idx="19">
                  <c:v>-1.8993834445393507</c:v>
                </c:pt>
                <c:pt idx="20">
                  <c:v>-2.1707239366164006</c:v>
                </c:pt>
                <c:pt idx="21">
                  <c:v>-2.4420644286934508</c:v>
                </c:pt>
                <c:pt idx="22">
                  <c:v>-2.7134049207705009</c:v>
                </c:pt>
                <c:pt idx="23">
                  <c:v>-2.984745412847551</c:v>
                </c:pt>
                <c:pt idx="24">
                  <c:v>-3.2560859049246011</c:v>
                </c:pt>
                <c:pt idx="25">
                  <c:v>-3.5274263970016513</c:v>
                </c:pt>
                <c:pt idx="26">
                  <c:v>-3.7987668890787014</c:v>
                </c:pt>
                <c:pt idx="27">
                  <c:v>-4.0701073811557515</c:v>
                </c:pt>
                <c:pt idx="28">
                  <c:v>-4.3414478732328012</c:v>
                </c:pt>
                <c:pt idx="29">
                  <c:v>-4.6127883653098509</c:v>
                </c:pt>
                <c:pt idx="30">
                  <c:v>-4.8841288573869006</c:v>
                </c:pt>
                <c:pt idx="31">
                  <c:v>-5.1554693494639503</c:v>
                </c:pt>
                <c:pt idx="32">
                  <c:v>-5.426809841541</c:v>
                </c:pt>
                <c:pt idx="33">
                  <c:v>-5.426809841541</c:v>
                </c:pt>
                <c:pt idx="34">
                  <c:v>-5.426809841541</c:v>
                </c:pt>
                <c:pt idx="35">
                  <c:v>-5.426809841541</c:v>
                </c:pt>
                <c:pt idx="36">
                  <c:v>-5.426809841541</c:v>
                </c:pt>
                <c:pt idx="37">
                  <c:v>-5.426809841541</c:v>
                </c:pt>
                <c:pt idx="38">
                  <c:v>-5.426809841541</c:v>
                </c:pt>
                <c:pt idx="39">
                  <c:v>-5.426809841541</c:v>
                </c:pt>
                <c:pt idx="40">
                  <c:v>-5.426809841541</c:v>
                </c:pt>
                <c:pt idx="41">
                  <c:v>-5.426809841541</c:v>
                </c:pt>
                <c:pt idx="42">
                  <c:v>-5.426809841541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B4-4AC1-B774-131D25866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755423"/>
        <c:axId val="2079659759"/>
      </c:scatterChart>
      <c:valAx>
        <c:axId val="19947554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659759"/>
        <c:crosses val="autoZero"/>
        <c:crossBetween val="midCat"/>
      </c:valAx>
      <c:valAx>
        <c:axId val="20796597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Dioxide removal (Mt CO2 per 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755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Illustrative scenarios of Greenhouse Gas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5"/>
          <c:tx>
            <c:strRef>
              <c:f>GasesSummary!$O$14</c:f>
              <c:strCache>
                <c:ptCount val="1"/>
                <c:pt idx="0">
                  <c:v>GWP100 E57%-A40%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GasesSummary!$I$15:$I$47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GasesSummary!$O$15:$O$47</c:f>
              <c:numCache>
                <c:formatCode>0.0</c:formatCode>
                <c:ptCount val="33"/>
                <c:pt idx="0">
                  <c:v>68.311052432169276</c:v>
                </c:pt>
                <c:pt idx="1">
                  <c:v>66.292618265952399</c:v>
                </c:pt>
                <c:pt idx="2">
                  <c:v>60.765480652382145</c:v>
                </c:pt>
                <c:pt idx="3">
                  <c:v>62.875356453202762</c:v>
                </c:pt>
                <c:pt idx="4">
                  <c:v>62.245385238884019</c:v>
                </c:pt>
                <c:pt idx="5">
                  <c:v>62.225671634826185</c:v>
                </c:pt>
                <c:pt idx="6">
                  <c:v>56.432546055724217</c:v>
                </c:pt>
                <c:pt idx="7">
                  <c:v>52.131771953851981</c:v>
                </c:pt>
                <c:pt idx="8">
                  <c:v>46.993525488258847</c:v>
                </c:pt>
                <c:pt idx="9">
                  <c:v>43.380202365800841</c:v>
                </c:pt>
                <c:pt idx="10">
                  <c:v>39.607438182220619</c:v>
                </c:pt>
                <c:pt idx="11">
                  <c:v>36.275928499721886</c:v>
                </c:pt>
                <c:pt idx="12">
                  <c:v>33.652389842670985</c:v>
                </c:pt>
                <c:pt idx="13">
                  <c:v>32.490843038343421</c:v>
                </c:pt>
                <c:pt idx="14">
                  <c:v>31.329296234015878</c:v>
                </c:pt>
                <c:pt idx="15">
                  <c:v>30.167749429688332</c:v>
                </c:pt>
                <c:pt idx="16">
                  <c:v>29.006202625360771</c:v>
                </c:pt>
                <c:pt idx="17">
                  <c:v>27.844655821033221</c:v>
                </c:pt>
                <c:pt idx="18">
                  <c:v>26.683109016705671</c:v>
                </c:pt>
                <c:pt idx="19">
                  <c:v>25.521562212378122</c:v>
                </c:pt>
                <c:pt idx="20">
                  <c:v>24.360015408050572</c:v>
                </c:pt>
                <c:pt idx="21">
                  <c:v>23.198468603723015</c:v>
                </c:pt>
                <c:pt idx="22">
                  <c:v>22.036921799395458</c:v>
                </c:pt>
                <c:pt idx="23">
                  <c:v>20.875374995067911</c:v>
                </c:pt>
                <c:pt idx="24">
                  <c:v>19.713828190740362</c:v>
                </c:pt>
                <c:pt idx="25">
                  <c:v>18.552281386412805</c:v>
                </c:pt>
                <c:pt idx="26">
                  <c:v>17.390734582085255</c:v>
                </c:pt>
                <c:pt idx="27">
                  <c:v>16.229187777757708</c:v>
                </c:pt>
                <c:pt idx="28">
                  <c:v>15.067640973430162</c:v>
                </c:pt>
                <c:pt idx="29">
                  <c:v>13.906094169102598</c:v>
                </c:pt>
                <c:pt idx="30">
                  <c:v>12.744547364775052</c:v>
                </c:pt>
                <c:pt idx="31">
                  <c:v>11.583000560447505</c:v>
                </c:pt>
                <c:pt idx="32">
                  <c:v>10.421453756119956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5C0-4163-BF5A-17D7E7C2B040}"/>
            </c:ext>
          </c:extLst>
        </c:ser>
        <c:ser>
          <c:idx val="15"/>
          <c:order val="15"/>
          <c:tx>
            <c:strRef>
              <c:f>GasesSummary!$Y$14</c:f>
              <c:strCache>
                <c:ptCount val="1"/>
                <c:pt idx="0">
                  <c:v>GWP100 E51%-A51%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GasesSummary!$I$15:$I$47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GasesSummary!$Y$15:$Y$47</c:f>
              <c:numCache>
                <c:formatCode>0.0</c:formatCode>
                <c:ptCount val="33"/>
                <c:pt idx="0">
                  <c:v>68.311052432169276</c:v>
                </c:pt>
                <c:pt idx="1">
                  <c:v>66.292618265952399</c:v>
                </c:pt>
                <c:pt idx="2">
                  <c:v>60.765480652382145</c:v>
                </c:pt>
                <c:pt idx="3">
                  <c:v>62.880982109298884</c:v>
                </c:pt>
                <c:pt idx="4">
                  <c:v>61.970554852836258</c:v>
                </c:pt>
                <c:pt idx="5">
                  <c:v>61.670385206634542</c:v>
                </c:pt>
                <c:pt idx="6">
                  <c:v>56.187660637912458</c:v>
                </c:pt>
                <c:pt idx="7">
                  <c:v>52.090212957000716</c:v>
                </c:pt>
                <c:pt idx="8">
                  <c:v>47.064766214040688</c:v>
                </c:pt>
                <c:pt idx="9">
                  <c:v>43.484423574830316</c:v>
                </c:pt>
                <c:pt idx="10">
                  <c:v>39.67650149941278</c:v>
                </c:pt>
                <c:pt idx="11">
                  <c:v>36.252403008933356</c:v>
                </c:pt>
                <c:pt idx="12">
                  <c:v>33.485658465267157</c:v>
                </c:pt>
                <c:pt idx="13">
                  <c:v>32.239189918850144</c:v>
                </c:pt>
                <c:pt idx="14">
                  <c:v>30.992721372433202</c:v>
                </c:pt>
                <c:pt idx="15">
                  <c:v>29.746252826016132</c:v>
                </c:pt>
                <c:pt idx="16">
                  <c:v>28.499784279599115</c:v>
                </c:pt>
                <c:pt idx="17">
                  <c:v>27.25331573318212</c:v>
                </c:pt>
                <c:pt idx="18">
                  <c:v>26.006847186765089</c:v>
                </c:pt>
                <c:pt idx="19">
                  <c:v>24.760378640348073</c:v>
                </c:pt>
                <c:pt idx="20">
                  <c:v>23.513910093931059</c:v>
                </c:pt>
                <c:pt idx="21">
                  <c:v>22.267441547514043</c:v>
                </c:pt>
                <c:pt idx="22">
                  <c:v>21.020973001097026</c:v>
                </c:pt>
                <c:pt idx="23">
                  <c:v>19.774504454680002</c:v>
                </c:pt>
                <c:pt idx="24">
                  <c:v>18.528035908262986</c:v>
                </c:pt>
                <c:pt idx="25">
                  <c:v>17.28156736184598</c:v>
                </c:pt>
                <c:pt idx="26">
                  <c:v>16.03509881542897</c:v>
                </c:pt>
                <c:pt idx="27">
                  <c:v>14.788630269011946</c:v>
                </c:pt>
                <c:pt idx="28">
                  <c:v>13.542161722594944</c:v>
                </c:pt>
                <c:pt idx="29">
                  <c:v>12.295693176177926</c:v>
                </c:pt>
                <c:pt idx="30">
                  <c:v>11.049224629760896</c:v>
                </c:pt>
                <c:pt idx="31">
                  <c:v>9.8027560833438834</c:v>
                </c:pt>
                <c:pt idx="32">
                  <c:v>8.5562875369268809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C0-4163-BF5A-17D7E7C2B040}"/>
            </c:ext>
          </c:extLst>
        </c:ser>
        <c:ser>
          <c:idx val="25"/>
          <c:order val="25"/>
          <c:tx>
            <c:strRef>
              <c:f>GasesSummary!$AI$14</c:f>
              <c:strCache>
                <c:ptCount val="1"/>
                <c:pt idx="0">
                  <c:v>GWP100 E61%-A33%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GasesSummary!$I$15:$I$47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GasesSummary!$AI$15:$AI$47</c:f>
              <c:numCache>
                <c:formatCode>0.0</c:formatCode>
                <c:ptCount val="33"/>
                <c:pt idx="0">
                  <c:v>68.311052432169276</c:v>
                </c:pt>
                <c:pt idx="1">
                  <c:v>66.292618265952399</c:v>
                </c:pt>
                <c:pt idx="2">
                  <c:v>60.765480652382145</c:v>
                </c:pt>
                <c:pt idx="3">
                  <c:v>62.871606015805426</c:v>
                </c:pt>
                <c:pt idx="4">
                  <c:v>62.419936353878299</c:v>
                </c:pt>
                <c:pt idx="5">
                  <c:v>62.578524302212031</c:v>
                </c:pt>
                <c:pt idx="6">
                  <c:v>56.529561485673824</c:v>
                </c:pt>
                <c:pt idx="7">
                  <c:v>52.063476844692637</c:v>
                </c:pt>
                <c:pt idx="8">
                  <c:v>46.835845457942462</c:v>
                </c:pt>
                <c:pt idx="9">
                  <c:v>43.198355573337437</c:v>
                </c:pt>
                <c:pt idx="10">
                  <c:v>39.454961922320095</c:v>
                </c:pt>
                <c:pt idx="11">
                  <c:v>36.198572824226929</c:v>
                </c:pt>
                <c:pt idx="12">
                  <c:v>33.686170749840926</c:v>
                </c:pt>
                <c:pt idx="13">
                  <c:v>32.582281098038308</c:v>
                </c:pt>
                <c:pt idx="14">
                  <c:v>31.478391446235658</c:v>
                </c:pt>
                <c:pt idx="15">
                  <c:v>30.374501794433037</c:v>
                </c:pt>
                <c:pt idx="16">
                  <c:v>29.270612142630391</c:v>
                </c:pt>
                <c:pt idx="17">
                  <c:v>28.166722490827762</c:v>
                </c:pt>
                <c:pt idx="18">
                  <c:v>27.062832839025138</c:v>
                </c:pt>
                <c:pt idx="19">
                  <c:v>25.958943187222502</c:v>
                </c:pt>
                <c:pt idx="20">
                  <c:v>24.855053535419856</c:v>
                </c:pt>
                <c:pt idx="21">
                  <c:v>23.751163883617238</c:v>
                </c:pt>
                <c:pt idx="22">
                  <c:v>22.647274231814595</c:v>
                </c:pt>
                <c:pt idx="23">
                  <c:v>21.54338458001196</c:v>
                </c:pt>
                <c:pt idx="24">
                  <c:v>20.439494928209335</c:v>
                </c:pt>
                <c:pt idx="25">
                  <c:v>19.335605276406699</c:v>
                </c:pt>
                <c:pt idx="26">
                  <c:v>18.23171562460406</c:v>
                </c:pt>
                <c:pt idx="27">
                  <c:v>17.127825972801443</c:v>
                </c:pt>
                <c:pt idx="28">
                  <c:v>16.023936320998796</c:v>
                </c:pt>
                <c:pt idx="29">
                  <c:v>14.920046669196166</c:v>
                </c:pt>
                <c:pt idx="30">
                  <c:v>13.816157017393532</c:v>
                </c:pt>
                <c:pt idx="31">
                  <c:v>12.7122673655909</c:v>
                </c:pt>
                <c:pt idx="32">
                  <c:v>11.608377713788256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5C0-4163-BF5A-17D7E7C2B040}"/>
            </c:ext>
          </c:extLst>
        </c:ser>
        <c:ser>
          <c:idx val="35"/>
          <c:order val="35"/>
          <c:tx>
            <c:strRef>
              <c:f>GasesSummary!$AS$14</c:f>
              <c:strCache>
                <c:ptCount val="1"/>
                <c:pt idx="0">
                  <c:v>GWP100 E65%-A26%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GasesSummary!$I$15:$I$47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GasesSummary!$AS$15:$AS$47</c:f>
              <c:numCache>
                <c:formatCode>0.0</c:formatCode>
                <c:ptCount val="33"/>
                <c:pt idx="0">
                  <c:v>68.311052432169276</c:v>
                </c:pt>
                <c:pt idx="1">
                  <c:v>66.292618265952399</c:v>
                </c:pt>
                <c:pt idx="2">
                  <c:v>60.765480652382145</c:v>
                </c:pt>
                <c:pt idx="3">
                  <c:v>62.867855578408019</c:v>
                </c:pt>
                <c:pt idx="4">
                  <c:v>62.594487468872614</c:v>
                </c:pt>
                <c:pt idx="5">
                  <c:v>62.931376969597949</c:v>
                </c:pt>
                <c:pt idx="6">
                  <c:v>56.585693890572301</c:v>
                </c:pt>
                <c:pt idx="7">
                  <c:v>51.935804008673315</c:v>
                </c:pt>
                <c:pt idx="8">
                  <c:v>46.61586748469113</c:v>
                </c:pt>
                <c:pt idx="9">
                  <c:v>42.961024675447646</c:v>
                </c:pt>
                <c:pt idx="10">
                  <c:v>39.261602637368448</c:v>
                </c:pt>
                <c:pt idx="11">
                  <c:v>36.097855420131367</c:v>
                </c:pt>
                <c:pt idx="12">
                  <c:v>33.71897825165253</c:v>
                </c:pt>
                <c:pt idx="13">
                  <c:v>32.672794422642738</c:v>
                </c:pt>
                <c:pt idx="14">
                  <c:v>31.626610593632947</c:v>
                </c:pt>
                <c:pt idx="15">
                  <c:v>30.580426764623137</c:v>
                </c:pt>
                <c:pt idx="16">
                  <c:v>29.534242935613339</c:v>
                </c:pt>
                <c:pt idx="17">
                  <c:v>28.488059106603551</c:v>
                </c:pt>
                <c:pt idx="18">
                  <c:v>27.441875277593748</c:v>
                </c:pt>
                <c:pt idx="19">
                  <c:v>26.395691448583953</c:v>
                </c:pt>
                <c:pt idx="20">
                  <c:v>25.349507619574155</c:v>
                </c:pt>
                <c:pt idx="21">
                  <c:v>24.303323790564363</c:v>
                </c:pt>
                <c:pt idx="22">
                  <c:v>23.257139961554554</c:v>
                </c:pt>
                <c:pt idx="23">
                  <c:v>22.210956132544766</c:v>
                </c:pt>
                <c:pt idx="24">
                  <c:v>21.164772303534971</c:v>
                </c:pt>
                <c:pt idx="25">
                  <c:v>20.118588474525172</c:v>
                </c:pt>
                <c:pt idx="26">
                  <c:v>19.072404645515388</c:v>
                </c:pt>
                <c:pt idx="27">
                  <c:v>18.026220816505582</c:v>
                </c:pt>
                <c:pt idx="28">
                  <c:v>16.980036987495779</c:v>
                </c:pt>
                <c:pt idx="29">
                  <c:v>15.933853158485999</c:v>
                </c:pt>
                <c:pt idx="30">
                  <c:v>14.887669329476189</c:v>
                </c:pt>
                <c:pt idx="31">
                  <c:v>13.841485500466396</c:v>
                </c:pt>
                <c:pt idx="32">
                  <c:v>12.795301671456588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5C0-4163-BF5A-17D7E7C2B040}"/>
            </c:ext>
          </c:extLst>
        </c:ser>
        <c:ser>
          <c:idx val="45"/>
          <c:order val="45"/>
          <c:tx>
            <c:strRef>
              <c:f>GasesSummary!$BC$14</c:f>
              <c:strCache>
                <c:ptCount val="1"/>
                <c:pt idx="0">
                  <c:v>GWP100 E69%-A19%</c:v>
                </c:pt>
              </c:strCache>
            </c:strRef>
          </c:tx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GasesSummary!$I$15:$I$47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GasesSummary!$BC$15:$BC$47</c:f>
              <c:numCache>
                <c:formatCode>0.0</c:formatCode>
                <c:ptCount val="33"/>
                <c:pt idx="0">
                  <c:v>68.311052432169276</c:v>
                </c:pt>
                <c:pt idx="1">
                  <c:v>66.292618265952399</c:v>
                </c:pt>
                <c:pt idx="2">
                  <c:v>60.765480652382145</c:v>
                </c:pt>
                <c:pt idx="3">
                  <c:v>65.243534853898723</c:v>
                </c:pt>
                <c:pt idx="4">
                  <c:v>61.696596909415625</c:v>
                </c:pt>
                <c:pt idx="5">
                  <c:v>58.430550765655759</c:v>
                </c:pt>
                <c:pt idx="6">
                  <c:v>54.667800944999541</c:v>
                </c:pt>
                <c:pt idx="7">
                  <c:v>51.110135831566602</c:v>
                </c:pt>
                <c:pt idx="8">
                  <c:v>47.350110608897921</c:v>
                </c:pt>
                <c:pt idx="9">
                  <c:v>43.812180108333692</c:v>
                </c:pt>
                <c:pt idx="10">
                  <c:v>40.202244743296504</c:v>
                </c:pt>
                <c:pt idx="11">
                  <c:v>36.631233404598404</c:v>
                </c:pt>
                <c:pt idx="12">
                  <c:v>33.150282942786319</c:v>
                </c:pt>
                <c:pt idx="13">
                  <c:v>32.196119091237783</c:v>
                </c:pt>
                <c:pt idx="14">
                  <c:v>31.241955239689243</c:v>
                </c:pt>
                <c:pt idx="15">
                  <c:v>30.2877913881407</c:v>
                </c:pt>
                <c:pt idx="16">
                  <c:v>29.333627536592164</c:v>
                </c:pt>
                <c:pt idx="17">
                  <c:v>28.379463685043625</c:v>
                </c:pt>
                <c:pt idx="18">
                  <c:v>27.425299833495082</c:v>
                </c:pt>
                <c:pt idx="19">
                  <c:v>26.471135981946542</c:v>
                </c:pt>
                <c:pt idx="20">
                  <c:v>25.516972130398003</c:v>
                </c:pt>
                <c:pt idx="21">
                  <c:v>24.562808278849459</c:v>
                </c:pt>
                <c:pt idx="22">
                  <c:v>23.608644427300923</c:v>
                </c:pt>
                <c:pt idx="23">
                  <c:v>22.65448057575238</c:v>
                </c:pt>
                <c:pt idx="24">
                  <c:v>21.700316724203841</c:v>
                </c:pt>
                <c:pt idx="25">
                  <c:v>20.746152872655298</c:v>
                </c:pt>
                <c:pt idx="26">
                  <c:v>19.791989021106755</c:v>
                </c:pt>
                <c:pt idx="27">
                  <c:v>18.837825169558219</c:v>
                </c:pt>
                <c:pt idx="28">
                  <c:v>17.883661318009676</c:v>
                </c:pt>
                <c:pt idx="29">
                  <c:v>16.929497466461136</c:v>
                </c:pt>
                <c:pt idx="30">
                  <c:v>15.975333614912596</c:v>
                </c:pt>
                <c:pt idx="31">
                  <c:v>15.021169763364057</c:v>
                </c:pt>
                <c:pt idx="32">
                  <c:v>14.067005911815514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5C0-4163-BF5A-17D7E7C2B040}"/>
            </c:ext>
          </c:extLst>
        </c:ser>
        <c:ser>
          <c:idx val="65"/>
          <c:order val="65"/>
          <c:tx>
            <c:strRef>
              <c:f>GasesSummary!$BW$14</c:f>
              <c:strCache>
                <c:ptCount val="1"/>
                <c:pt idx="0">
                  <c:v>GWP100 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GasesSummary!$I$15:$I$47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GasesSummary!$BW$15:$BW$47</c:f>
              <c:numCache>
                <c:formatCode>0.0</c:formatCode>
                <c:ptCount val="33"/>
                <c:pt idx="0">
                  <c:v>68.33582008042093</c:v>
                </c:pt>
                <c:pt idx="1">
                  <c:v>65.145770662662386</c:v>
                </c:pt>
                <c:pt idx="2">
                  <c:v>62.442913673206689</c:v>
                </c:pt>
                <c:pt idx="3">
                  <c:v>64.30000785776484</c:v>
                </c:pt>
                <c:pt idx="4">
                  <c:v>64.815710032434311</c:v>
                </c:pt>
                <c:pt idx="5">
                  <c:v>66.073172415813445</c:v>
                </c:pt>
                <c:pt idx="6">
                  <c:v>63.660295997931264</c:v>
                </c:pt>
                <c:pt idx="7">
                  <c:v>62.30704990437598</c:v>
                </c:pt>
                <c:pt idx="8">
                  <c:v>58.82166402733305</c:v>
                </c:pt>
                <c:pt idx="9">
                  <c:v>58.382811221679333</c:v>
                </c:pt>
                <c:pt idx="10">
                  <c:v>56.670800062084204</c:v>
                </c:pt>
                <c:pt idx="11">
                  <c:v>55.821014188803929</c:v>
                </c:pt>
                <c:pt idx="12">
                  <c:v>55.65558495567484</c:v>
                </c:pt>
                <c:pt idx="13">
                  <c:v>56.171445397191526</c:v>
                </c:pt>
                <c:pt idx="14">
                  <c:v>56.205090636747457</c:v>
                </c:pt>
                <c:pt idx="15">
                  <c:v>55.960660756806362</c:v>
                </c:pt>
                <c:pt idx="16">
                  <c:v>57.114149527954979</c:v>
                </c:pt>
                <c:pt idx="17">
                  <c:v>57.303050806669091</c:v>
                </c:pt>
                <c:pt idx="18">
                  <c:v>57.462820649324399</c:v>
                </c:pt>
                <c:pt idx="19">
                  <c:v>57.692896227304928</c:v>
                </c:pt>
                <c:pt idx="20">
                  <c:v>57.456702758878677</c:v>
                </c:pt>
                <c:pt idx="21">
                  <c:v>57.062151552984865</c:v>
                </c:pt>
                <c:pt idx="22">
                  <c:v>57.262292665609621</c:v>
                </c:pt>
                <c:pt idx="23">
                  <c:v>52.990835280361772</c:v>
                </c:pt>
                <c:pt idx="24">
                  <c:v>48.719377895113922</c:v>
                </c:pt>
                <c:pt idx="25">
                  <c:v>44.447920509866073</c:v>
                </c:pt>
                <c:pt idx="26">
                  <c:v>40.17646312461823</c:v>
                </c:pt>
                <c:pt idx="27">
                  <c:v>35.905005739370381</c:v>
                </c:pt>
                <c:pt idx="28">
                  <c:v>31.633548354122532</c:v>
                </c:pt>
                <c:pt idx="29">
                  <c:v>27.362090968874689</c:v>
                </c:pt>
                <c:pt idx="30">
                  <c:v>23.09063358362684</c:v>
                </c:pt>
                <c:pt idx="31">
                  <c:v>18.81917619837899</c:v>
                </c:pt>
                <c:pt idx="32">
                  <c:v>14.547718813131144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C0-4163-BF5A-17D7E7C2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276704"/>
        <c:axId val="67219760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GasesSummary!$J$14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GasesSummary!$J$15:$J$47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0.000">
                        <c:v>44.05311996590261</c:v>
                      </c:pt>
                      <c:pt idx="1">
                        <c:v>42.847003375390081</c:v>
                      </c:pt>
                      <c:pt idx="2">
                        <c:v>37.397075829274357</c:v>
                      </c:pt>
                      <c:pt idx="3">
                        <c:v>39.44333324417066</c:v>
                      </c:pt>
                      <c:pt idx="4">
                        <c:v>39.791121384432152</c:v>
                      </c:pt>
                      <c:pt idx="5">
                        <c:v>40.468275334231322</c:v>
                      </c:pt>
                      <c:pt idx="6">
                        <c:v>35.868720985882703</c:v>
                      </c:pt>
                      <c:pt idx="7">
                        <c:v>32.556433407540545</c:v>
                      </c:pt>
                      <c:pt idx="8">
                        <c:v>28.609033574713234</c:v>
                      </c:pt>
                      <c:pt idx="9">
                        <c:v>25.964462362916588</c:v>
                      </c:pt>
                      <c:pt idx="10">
                        <c:v>23.23245495447069</c:v>
                      </c:pt>
                      <c:pt idx="11">
                        <c:v>20.902778020767197</c:v>
                      </c:pt>
                      <c:pt idx="12">
                        <c:v>19.191011235625513</c:v>
                      </c:pt>
                      <c:pt idx="13">
                        <c:v>18.231460673844232</c:v>
                      </c:pt>
                      <c:pt idx="14">
                        <c:v>17.271910112062958</c:v>
                      </c:pt>
                      <c:pt idx="15">
                        <c:v>16.312359550281691</c:v>
                      </c:pt>
                      <c:pt idx="16">
                        <c:v>15.352808988500405</c:v>
                      </c:pt>
                      <c:pt idx="17">
                        <c:v>14.393258426719131</c:v>
                      </c:pt>
                      <c:pt idx="18">
                        <c:v>13.433707864937857</c:v>
                      </c:pt>
                      <c:pt idx="19">
                        <c:v>12.474157303156582</c:v>
                      </c:pt>
                      <c:pt idx="20">
                        <c:v>11.514606741375308</c:v>
                      </c:pt>
                      <c:pt idx="21">
                        <c:v>10.555056179594027</c:v>
                      </c:pt>
                      <c:pt idx="22">
                        <c:v>9.595505617812746</c:v>
                      </c:pt>
                      <c:pt idx="23">
                        <c:v>8.6359550560314755</c:v>
                      </c:pt>
                      <c:pt idx="24">
                        <c:v>7.6764044942502014</c:v>
                      </c:pt>
                      <c:pt idx="25">
                        <c:v>6.7168539324689203</c:v>
                      </c:pt>
                      <c:pt idx="26">
                        <c:v>5.7573033706876462</c:v>
                      </c:pt>
                      <c:pt idx="27">
                        <c:v>4.7977528089063748</c:v>
                      </c:pt>
                      <c:pt idx="28">
                        <c:v>3.8382022471251056</c:v>
                      </c:pt>
                      <c:pt idx="29">
                        <c:v>2.8786516853438182</c:v>
                      </c:pt>
                      <c:pt idx="30">
                        <c:v>1.9191011235625475</c:v>
                      </c:pt>
                      <c:pt idx="31">
                        <c:v>0.95955056178127618</c:v>
                      </c:pt>
                      <c:pt idx="32">
                        <c:v>2.1382833571495492E-15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55C0-4163-BF5A-17D7E7C2B040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GasesSummary!$K$14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GasesSummary!$K$15:$K$47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0.0000">
                        <c:v>0.62362502085979499</c:v>
                      </c:pt>
                      <c:pt idx="1">
                        <c:v>0.60727248931136102</c:v>
                      </c:pt>
                      <c:pt idx="2">
                        <c:v>0.60563517202162709</c:v>
                      </c:pt>
                      <c:pt idx="3">
                        <c:v>0.60698426400733474</c:v>
                      </c:pt>
                      <c:pt idx="4">
                        <c:v>0.58129901066215994</c:v>
                      </c:pt>
                      <c:pt idx="5">
                        <c:v>0.56157035102336328</c:v>
                      </c:pt>
                      <c:pt idx="6">
                        <c:v>0.53130858935696113</c:v>
                      </c:pt>
                      <c:pt idx="7">
                        <c:v>0.5053958555837732</c:v>
                      </c:pt>
                      <c:pt idx="8">
                        <c:v>0.47519187176344252</c:v>
                      </c:pt>
                      <c:pt idx="9">
                        <c:v>0.44969763034392596</c:v>
                      </c:pt>
                      <c:pt idx="10">
                        <c:v>0.42267645320950437</c:v>
                      </c:pt>
                      <c:pt idx="11">
                        <c:v>0.39648069927975194</c:v>
                      </c:pt>
                      <c:pt idx="12">
                        <c:v>0.37219477700428399</c:v>
                      </c:pt>
                      <c:pt idx="13">
                        <c:v>0.37219477700428399</c:v>
                      </c:pt>
                      <c:pt idx="14">
                        <c:v>0.37219477700428399</c:v>
                      </c:pt>
                      <c:pt idx="15">
                        <c:v>0.37219477700428399</c:v>
                      </c:pt>
                      <c:pt idx="16">
                        <c:v>0.37219477700428399</c:v>
                      </c:pt>
                      <c:pt idx="17">
                        <c:v>0.37219477700428399</c:v>
                      </c:pt>
                      <c:pt idx="18">
                        <c:v>0.37219477700428399</c:v>
                      </c:pt>
                      <c:pt idx="19">
                        <c:v>0.37219477700428399</c:v>
                      </c:pt>
                      <c:pt idx="20">
                        <c:v>0.37219477700428399</c:v>
                      </c:pt>
                      <c:pt idx="21">
                        <c:v>0.37219477700428399</c:v>
                      </c:pt>
                      <c:pt idx="22">
                        <c:v>0.37219477700428399</c:v>
                      </c:pt>
                      <c:pt idx="23">
                        <c:v>0.37219477700428399</c:v>
                      </c:pt>
                      <c:pt idx="24">
                        <c:v>0.37219477700428399</c:v>
                      </c:pt>
                      <c:pt idx="25">
                        <c:v>0.37219477700428399</c:v>
                      </c:pt>
                      <c:pt idx="26">
                        <c:v>0.37219477700428399</c:v>
                      </c:pt>
                      <c:pt idx="27">
                        <c:v>0.37219477700428399</c:v>
                      </c:pt>
                      <c:pt idx="28">
                        <c:v>0.37219477700428399</c:v>
                      </c:pt>
                      <c:pt idx="29">
                        <c:v>0.37219477700428399</c:v>
                      </c:pt>
                      <c:pt idx="30">
                        <c:v>0.37219477700428399</c:v>
                      </c:pt>
                      <c:pt idx="31">
                        <c:v>0.37219477700428399</c:v>
                      </c:pt>
                      <c:pt idx="32">
                        <c:v>0.37219477700428399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5C0-4163-BF5A-17D7E7C2B04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GasesSummary!$L$15:$L$47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0.0000">
                        <c:v>2.5646912762990196E-2</c:v>
                      </c:pt>
                      <c:pt idx="1">
                        <c:v>2.4309378074883786E-2</c:v>
                      </c:pt>
                      <c:pt idx="2">
                        <c:v>2.4191018892461238E-2</c:v>
                      </c:pt>
                      <c:pt idx="3">
                        <c:v>2.4288542705006529E-2</c:v>
                      </c:pt>
                      <c:pt idx="4">
                        <c:v>2.3312798324193917E-2</c:v>
                      </c:pt>
                      <c:pt idx="5">
                        <c:v>2.2767647063927147E-2</c:v>
                      </c:pt>
                      <c:pt idx="6">
                        <c:v>2.1461073840930576E-2</c:v>
                      </c:pt>
                      <c:pt idx="7">
                        <c:v>2.0468885245153903E-2</c:v>
                      </c:pt>
                      <c:pt idx="8">
                        <c:v>1.9166488694978199E-2</c:v>
                      </c:pt>
                      <c:pt idx="9">
                        <c:v>1.8204552276431432E-2</c:v>
                      </c:pt>
                      <c:pt idx="10">
                        <c:v>1.7132235992014373E-2</c:v>
                      </c:pt>
                      <c:pt idx="11">
                        <c:v>1.6119588298572199E-2</c:v>
                      </c:pt>
                      <c:pt idx="12">
                        <c:v>1.5244999437454785E-2</c:v>
                      </c:pt>
                      <c:pt idx="13">
                        <c:v>1.5244999437454785E-2</c:v>
                      </c:pt>
                      <c:pt idx="14">
                        <c:v>1.5244999437454785E-2</c:v>
                      </c:pt>
                      <c:pt idx="15">
                        <c:v>1.5244999437454785E-2</c:v>
                      </c:pt>
                      <c:pt idx="16">
                        <c:v>1.5244999437454785E-2</c:v>
                      </c:pt>
                      <c:pt idx="17">
                        <c:v>1.5244999437454785E-2</c:v>
                      </c:pt>
                      <c:pt idx="18">
                        <c:v>1.5244999437454785E-2</c:v>
                      </c:pt>
                      <c:pt idx="19">
                        <c:v>1.5244999437454785E-2</c:v>
                      </c:pt>
                      <c:pt idx="20">
                        <c:v>1.5244999437454785E-2</c:v>
                      </c:pt>
                      <c:pt idx="21">
                        <c:v>1.5244999437454785E-2</c:v>
                      </c:pt>
                      <c:pt idx="22">
                        <c:v>1.5244999437454785E-2</c:v>
                      </c:pt>
                      <c:pt idx="23">
                        <c:v>1.5244999437454785E-2</c:v>
                      </c:pt>
                      <c:pt idx="24">
                        <c:v>1.5244999437454785E-2</c:v>
                      </c:pt>
                      <c:pt idx="25">
                        <c:v>1.5244999437454785E-2</c:v>
                      </c:pt>
                      <c:pt idx="26">
                        <c:v>1.5244999437454785E-2</c:v>
                      </c:pt>
                      <c:pt idx="27">
                        <c:v>1.5244999437454785E-2</c:v>
                      </c:pt>
                      <c:pt idx="28">
                        <c:v>1.5244999437454785E-2</c:v>
                      </c:pt>
                      <c:pt idx="29">
                        <c:v>1.5244999437454785E-2</c:v>
                      </c:pt>
                      <c:pt idx="30">
                        <c:v>1.5244999437454785E-2</c:v>
                      </c:pt>
                      <c:pt idx="31">
                        <c:v>1.5244999437454785E-2</c:v>
                      </c:pt>
                      <c:pt idx="32">
                        <c:v>1.5244999437454785E-2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5C0-4163-BF5A-17D7E7C2B04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GasesSummary!$M$14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GasesSummary!$M$15:$M$47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17.461500584074258</c:v>
                      </c:pt>
                      <c:pt idx="1">
                        <c:v>17.003629700718108</c:v>
                      </c:pt>
                      <c:pt idx="2">
                        <c:v>16.95778481660556</c:v>
                      </c:pt>
                      <c:pt idx="3">
                        <c:v>16.995559392205372</c:v>
                      </c:pt>
                      <c:pt idx="4">
                        <c:v>16.27637229854048</c:v>
                      </c:pt>
                      <c:pt idx="5">
                        <c:v>15.723969828654171</c:v>
                      </c:pt>
                      <c:pt idx="6">
                        <c:v>14.876640501994912</c:v>
                      </c:pt>
                      <c:pt idx="7">
                        <c:v>14.15108395634565</c:v>
                      </c:pt>
                      <c:pt idx="8">
                        <c:v>13.305372409376391</c:v>
                      </c:pt>
                      <c:pt idx="9">
                        <c:v>12.591533649629927</c:v>
                      </c:pt>
                      <c:pt idx="10">
                        <c:v>11.834940689866123</c:v>
                      </c:pt>
                      <c:pt idx="11">
                        <c:v>11.101459579833055</c:v>
                      </c:pt>
                      <c:pt idx="12">
                        <c:v>10.421453756119952</c:v>
                      </c:pt>
                      <c:pt idx="13">
                        <c:v>10.421453756119952</c:v>
                      </c:pt>
                      <c:pt idx="14">
                        <c:v>10.421453756119952</c:v>
                      </c:pt>
                      <c:pt idx="15">
                        <c:v>10.421453756119952</c:v>
                      </c:pt>
                      <c:pt idx="16">
                        <c:v>10.421453756119952</c:v>
                      </c:pt>
                      <c:pt idx="17">
                        <c:v>10.421453756119952</c:v>
                      </c:pt>
                      <c:pt idx="18">
                        <c:v>10.421453756119952</c:v>
                      </c:pt>
                      <c:pt idx="19">
                        <c:v>10.421453756119952</c:v>
                      </c:pt>
                      <c:pt idx="20">
                        <c:v>10.421453756119952</c:v>
                      </c:pt>
                      <c:pt idx="21">
                        <c:v>10.421453756119952</c:v>
                      </c:pt>
                      <c:pt idx="22">
                        <c:v>10.421453756119952</c:v>
                      </c:pt>
                      <c:pt idx="23">
                        <c:v>10.421453756119952</c:v>
                      </c:pt>
                      <c:pt idx="24">
                        <c:v>10.421453756119952</c:v>
                      </c:pt>
                      <c:pt idx="25">
                        <c:v>10.421453756119952</c:v>
                      </c:pt>
                      <c:pt idx="26">
                        <c:v>10.421453756119952</c:v>
                      </c:pt>
                      <c:pt idx="27">
                        <c:v>10.421453756119952</c:v>
                      </c:pt>
                      <c:pt idx="28">
                        <c:v>10.421453756119952</c:v>
                      </c:pt>
                      <c:pt idx="29">
                        <c:v>10.421453756119952</c:v>
                      </c:pt>
                      <c:pt idx="30">
                        <c:v>10.421453756119952</c:v>
                      </c:pt>
                      <c:pt idx="31">
                        <c:v>10.421453756119952</c:v>
                      </c:pt>
                      <c:pt idx="32">
                        <c:v>10.421453756119952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5C0-4163-BF5A-17D7E7C2B04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GasesSummary!$N$14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GasesSummary!$N$15:$N$47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6.7964318821924019</c:v>
                      </c:pt>
                      <c:pt idx="1">
                        <c:v>6.4419851898442033</c:v>
                      </c:pt>
                      <c:pt idx="2">
                        <c:v>6.4106200065022279</c:v>
                      </c:pt>
                      <c:pt idx="3">
                        <c:v>6.4364638168267305</c:v>
                      </c:pt>
                      <c:pt idx="4">
                        <c:v>6.1778915559113878</c:v>
                      </c:pt>
                      <c:pt idx="5">
                        <c:v>6.033426471940694</c:v>
                      </c:pt>
                      <c:pt idx="6">
                        <c:v>5.6871845678466029</c:v>
                      </c:pt>
                      <c:pt idx="7">
                        <c:v>5.4242545899657841</c:v>
                      </c:pt>
                      <c:pt idx="8">
                        <c:v>5.0791195041692223</c:v>
                      </c:pt>
                      <c:pt idx="9">
                        <c:v>4.8242063532543291</c:v>
                      </c:pt>
                      <c:pt idx="10">
                        <c:v>4.5400425378838083</c:v>
                      </c:pt>
                      <c:pt idx="11">
                        <c:v>4.2716908991216327</c:v>
                      </c:pt>
                      <c:pt idx="12">
                        <c:v>4.0399248509255177</c:v>
                      </c:pt>
                      <c:pt idx="13">
                        <c:v>4.0399248509255177</c:v>
                      </c:pt>
                      <c:pt idx="14">
                        <c:v>4.0399248509255177</c:v>
                      </c:pt>
                      <c:pt idx="15">
                        <c:v>4.0399248509255177</c:v>
                      </c:pt>
                      <c:pt idx="16">
                        <c:v>4.0399248509255177</c:v>
                      </c:pt>
                      <c:pt idx="17">
                        <c:v>4.0399248509255177</c:v>
                      </c:pt>
                      <c:pt idx="18">
                        <c:v>4.0399248509255177</c:v>
                      </c:pt>
                      <c:pt idx="19">
                        <c:v>4.0399248509255177</c:v>
                      </c:pt>
                      <c:pt idx="20">
                        <c:v>4.0399248509255177</c:v>
                      </c:pt>
                      <c:pt idx="21">
                        <c:v>4.0399248509255177</c:v>
                      </c:pt>
                      <c:pt idx="22">
                        <c:v>4.0399248509255177</c:v>
                      </c:pt>
                      <c:pt idx="23">
                        <c:v>4.0399248509255177</c:v>
                      </c:pt>
                      <c:pt idx="24">
                        <c:v>4.0399248509255177</c:v>
                      </c:pt>
                      <c:pt idx="25">
                        <c:v>4.0399248509255177</c:v>
                      </c:pt>
                      <c:pt idx="26">
                        <c:v>4.0399248509255177</c:v>
                      </c:pt>
                      <c:pt idx="27">
                        <c:v>4.0399248509255177</c:v>
                      </c:pt>
                      <c:pt idx="28">
                        <c:v>4.0399248509255177</c:v>
                      </c:pt>
                      <c:pt idx="29">
                        <c:v>4.0399248509255177</c:v>
                      </c:pt>
                      <c:pt idx="30">
                        <c:v>4.0399248509255177</c:v>
                      </c:pt>
                      <c:pt idx="31">
                        <c:v>4.0399248509255177</c:v>
                      </c:pt>
                      <c:pt idx="32">
                        <c:v>4.0399248509255177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5C0-4163-BF5A-17D7E7C2B040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GasesSummary!$P$15:$P$47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0.5643665817431438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5C0-4163-BF5A-17D7E7C2B040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GasesSummary!$Q$15:$Q$47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0.40317536251009112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5C0-4163-BF5A-17D7E7C2B040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GasesSummary!$R$14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GasesSummary!$R$15:$R$47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13" formatCode="0.0">
                        <c:v>-0.20199624254627588</c:v>
                      </c:pt>
                      <c:pt idx="14" formatCode="0.0">
                        <c:v>-0.40399248509255176</c:v>
                      </c:pt>
                      <c:pt idx="15" formatCode="0.0">
                        <c:v>-0.60598872763882761</c:v>
                      </c:pt>
                      <c:pt idx="16" formatCode="0.0">
                        <c:v>-0.80798497018510351</c:v>
                      </c:pt>
                      <c:pt idx="17" formatCode="0.0">
                        <c:v>-1.0099812127313794</c:v>
                      </c:pt>
                      <c:pt idx="18" formatCode="0.0">
                        <c:v>-1.2119774552776552</c:v>
                      </c:pt>
                      <c:pt idx="19" formatCode="0.0">
                        <c:v>-1.413973697823931</c:v>
                      </c:pt>
                      <c:pt idx="20" formatCode="0.0">
                        <c:v>-1.6159699403702068</c:v>
                      </c:pt>
                      <c:pt idx="21" formatCode="0.0">
                        <c:v>-1.8179661829164826</c:v>
                      </c:pt>
                      <c:pt idx="22" formatCode="0.0">
                        <c:v>-2.0199624254627584</c:v>
                      </c:pt>
                      <c:pt idx="23" formatCode="0.0">
                        <c:v>-2.2219586680090342</c:v>
                      </c:pt>
                      <c:pt idx="24" formatCode="0.0">
                        <c:v>-2.42395491055531</c:v>
                      </c:pt>
                      <c:pt idx="25" formatCode="0.0">
                        <c:v>-2.6259511531015858</c:v>
                      </c:pt>
                      <c:pt idx="26" formatCode="0.0">
                        <c:v>-2.8279473956478616</c:v>
                      </c:pt>
                      <c:pt idx="27" formatCode="0.0">
                        <c:v>-3.0299436381941374</c:v>
                      </c:pt>
                      <c:pt idx="28" formatCode="0.0">
                        <c:v>-3.2319398807404132</c:v>
                      </c:pt>
                      <c:pt idx="29" formatCode="0.0">
                        <c:v>-3.433936123286689</c:v>
                      </c:pt>
                      <c:pt idx="30" formatCode="0.0">
                        <c:v>-3.6359323658329648</c:v>
                      </c:pt>
                      <c:pt idx="31" formatCode="0.0">
                        <c:v>-3.8379286083792405</c:v>
                      </c:pt>
                      <c:pt idx="32" formatCode="0.0">
                        <c:v>-4.0399248509255168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5C0-4163-BF5A-17D7E7C2B040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GasesSummary!$S$14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GasesSummary!$S$15:$S$47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5C0-4163-BF5A-17D7E7C2B040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GasesSummary!$T$14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GasesSummary!$T$15:$T$47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0.000">
                        <c:v>44.05311996590261</c:v>
                      </c:pt>
                      <c:pt idx="1">
                        <c:v>42.847003375390081</c:v>
                      </c:pt>
                      <c:pt idx="2">
                        <c:v>37.397075829274357</c:v>
                      </c:pt>
                      <c:pt idx="3">
                        <c:v>39.448958900266781</c:v>
                      </c:pt>
                      <c:pt idx="4">
                        <c:v>39.802372696624296</c:v>
                      </c:pt>
                      <c:pt idx="5">
                        <c:v>40.485152302519481</c:v>
                      </c:pt>
                      <c:pt idx="6">
                        <c:v>36.482080662790658</c:v>
                      </c:pt>
                      <c:pt idx="7">
                        <c:v>33.659201203648905</c:v>
                      </c:pt>
                      <c:pt idx="8">
                        <c:v>30.1106827916946</c:v>
                      </c:pt>
                      <c:pt idx="9">
                        <c:v>27.785173761385483</c:v>
                      </c:pt>
                      <c:pt idx="10">
                        <c:v>25.304090159342181</c:v>
                      </c:pt>
                      <c:pt idx="11">
                        <c:v>23.167906115897903</c:v>
                      </c:pt>
                      <c:pt idx="12">
                        <c:v>21.599015142380825</c:v>
                      </c:pt>
                      <c:pt idx="13">
                        <c:v>20.519064385261782</c:v>
                      </c:pt>
                      <c:pt idx="14">
                        <c:v>19.439113628142817</c:v>
                      </c:pt>
                      <c:pt idx="15">
                        <c:v>18.35916287102372</c:v>
                      </c:pt>
                      <c:pt idx="16">
                        <c:v>17.279212113904677</c:v>
                      </c:pt>
                      <c:pt idx="17">
                        <c:v>16.199261356785652</c:v>
                      </c:pt>
                      <c:pt idx="18">
                        <c:v>15.119310599666598</c:v>
                      </c:pt>
                      <c:pt idx="19">
                        <c:v>14.039359842547555</c:v>
                      </c:pt>
                      <c:pt idx="20">
                        <c:v>12.959409085428508</c:v>
                      </c:pt>
                      <c:pt idx="21">
                        <c:v>11.879458328309468</c:v>
                      </c:pt>
                      <c:pt idx="22">
                        <c:v>10.799507571190423</c:v>
                      </c:pt>
                      <c:pt idx="23">
                        <c:v>9.7195568140713746</c:v>
                      </c:pt>
                      <c:pt idx="24">
                        <c:v>8.6396060569523314</c:v>
                      </c:pt>
                      <c:pt idx="25">
                        <c:v>7.5596552998332918</c:v>
                      </c:pt>
                      <c:pt idx="26">
                        <c:v>6.4797045427142566</c:v>
                      </c:pt>
                      <c:pt idx="27">
                        <c:v>5.399753785595208</c:v>
                      </c:pt>
                      <c:pt idx="28">
                        <c:v>4.3198030284761781</c:v>
                      </c:pt>
                      <c:pt idx="29">
                        <c:v>3.2398522713571314</c:v>
                      </c:pt>
                      <c:pt idx="30">
                        <c:v>2.1599015142380749</c:v>
                      </c:pt>
                      <c:pt idx="31">
                        <c:v>1.0799507571190341</c:v>
                      </c:pt>
                      <c:pt idx="32">
                        <c:v>2.8804233201616342E-15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5C0-4163-BF5A-17D7E7C2B040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GasesSummary!$U$14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GasesSummary!$U$15:$U$47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0.0000">
                        <c:v>0.62362502085979499</c:v>
                      </c:pt>
                      <c:pt idx="1">
                        <c:v>0.60727248931136102</c:v>
                      </c:pt>
                      <c:pt idx="2">
                        <c:v>0.60563517202162709</c:v>
                      </c:pt>
                      <c:pt idx="3">
                        <c:v>0.60698426400733474</c:v>
                      </c:pt>
                      <c:pt idx="4">
                        <c:v>0.57389755741139381</c:v>
                      </c:pt>
                      <c:pt idx="5">
                        <c:v>0.54676744452183101</c:v>
                      </c:pt>
                      <c:pt idx="6">
                        <c:v>0.50910422960466262</c:v>
                      </c:pt>
                      <c:pt idx="7">
                        <c:v>0.47579004258070851</c:v>
                      </c:pt>
                      <c:pt idx="8">
                        <c:v>0.43818460550961169</c:v>
                      </c:pt>
                      <c:pt idx="9">
                        <c:v>0.40528891083932894</c:v>
                      </c:pt>
                      <c:pt idx="10">
                        <c:v>0.37086628045414116</c:v>
                      </c:pt>
                      <c:pt idx="11">
                        <c:v>0.33726907327362254</c:v>
                      </c:pt>
                      <c:pt idx="12">
                        <c:v>0.30558169774738841</c:v>
                      </c:pt>
                      <c:pt idx="13">
                        <c:v>0.30558169774738841</c:v>
                      </c:pt>
                      <c:pt idx="14">
                        <c:v>0.30558169774738841</c:v>
                      </c:pt>
                      <c:pt idx="15">
                        <c:v>0.30558169774738841</c:v>
                      </c:pt>
                      <c:pt idx="16">
                        <c:v>0.30558169774738841</c:v>
                      </c:pt>
                      <c:pt idx="17">
                        <c:v>0.30558169774738841</c:v>
                      </c:pt>
                      <c:pt idx="18">
                        <c:v>0.30558169774738841</c:v>
                      </c:pt>
                      <c:pt idx="19">
                        <c:v>0.30558169774738841</c:v>
                      </c:pt>
                      <c:pt idx="20">
                        <c:v>0.30558169774738841</c:v>
                      </c:pt>
                      <c:pt idx="21">
                        <c:v>0.30558169774738841</c:v>
                      </c:pt>
                      <c:pt idx="22">
                        <c:v>0.30558169774738841</c:v>
                      </c:pt>
                      <c:pt idx="23">
                        <c:v>0.30558169774738841</c:v>
                      </c:pt>
                      <c:pt idx="24">
                        <c:v>0.30558169774738841</c:v>
                      </c:pt>
                      <c:pt idx="25">
                        <c:v>0.30558169774738841</c:v>
                      </c:pt>
                      <c:pt idx="26">
                        <c:v>0.30558169774738841</c:v>
                      </c:pt>
                      <c:pt idx="27">
                        <c:v>0.30558169774738841</c:v>
                      </c:pt>
                      <c:pt idx="28">
                        <c:v>0.30558169774738841</c:v>
                      </c:pt>
                      <c:pt idx="29">
                        <c:v>0.30558169774738841</c:v>
                      </c:pt>
                      <c:pt idx="30">
                        <c:v>0.30558169774738841</c:v>
                      </c:pt>
                      <c:pt idx="31">
                        <c:v>0.30558169774738841</c:v>
                      </c:pt>
                      <c:pt idx="32">
                        <c:v>0.30558169774738841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5C0-4163-BF5A-17D7E7C2B040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GasesSummary!$V$15:$V$47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 formatCode="0.0000">
                        <c:v>2.5646912762990196E-2</c:v>
                      </c:pt>
                      <c:pt idx="1">
                        <c:v>2.4309378074883786E-2</c:v>
                      </c:pt>
                      <c:pt idx="2">
                        <c:v>2.4191018892461238E-2</c:v>
                      </c:pt>
                      <c:pt idx="3">
                        <c:v>2.4288542705006529E-2</c:v>
                      </c:pt>
                      <c:pt idx="4">
                        <c:v>2.3015285089407308E-2</c:v>
                      </c:pt>
                      <c:pt idx="5">
                        <c:v>2.2172620594353928E-2</c:v>
                      </c:pt>
                      <c:pt idx="6">
                        <c:v>2.0568534136570747E-2</c:v>
                      </c:pt>
                      <c:pt idx="7">
                        <c:v>1.9278832306007465E-2</c:v>
                      </c:pt>
                      <c:pt idx="8">
                        <c:v>1.7678922521045151E-2</c:v>
                      </c:pt>
                      <c:pt idx="9">
                        <c:v>1.6419472867711775E-2</c:v>
                      </c:pt>
                      <c:pt idx="10">
                        <c:v>1.5049643348508104E-2</c:v>
                      </c:pt>
                      <c:pt idx="11">
                        <c:v>1.3739482420279323E-2</c:v>
                      </c:pt>
                      <c:pt idx="12">
                        <c:v>1.2567380324375299E-2</c:v>
                      </c:pt>
                      <c:pt idx="13">
                        <c:v>1.2567380324375299E-2</c:v>
                      </c:pt>
                      <c:pt idx="14">
                        <c:v>1.2567380324375299E-2</c:v>
                      </c:pt>
                      <c:pt idx="15">
                        <c:v>1.2567380324375299E-2</c:v>
                      </c:pt>
                      <c:pt idx="16">
                        <c:v>1.2567380324375299E-2</c:v>
                      </c:pt>
                      <c:pt idx="17">
                        <c:v>1.2567380324375299E-2</c:v>
                      </c:pt>
                      <c:pt idx="18">
                        <c:v>1.2567380324375299E-2</c:v>
                      </c:pt>
                      <c:pt idx="19">
                        <c:v>1.2567380324375299E-2</c:v>
                      </c:pt>
                      <c:pt idx="20">
                        <c:v>1.2567380324375299E-2</c:v>
                      </c:pt>
                      <c:pt idx="21">
                        <c:v>1.2567380324375299E-2</c:v>
                      </c:pt>
                      <c:pt idx="22">
                        <c:v>1.2567380324375299E-2</c:v>
                      </c:pt>
                      <c:pt idx="23">
                        <c:v>1.2567380324375299E-2</c:v>
                      </c:pt>
                      <c:pt idx="24">
                        <c:v>1.2567380324375299E-2</c:v>
                      </c:pt>
                      <c:pt idx="25">
                        <c:v>1.2567380324375299E-2</c:v>
                      </c:pt>
                      <c:pt idx="26">
                        <c:v>1.2567380324375299E-2</c:v>
                      </c:pt>
                      <c:pt idx="27">
                        <c:v>1.2567380324375299E-2</c:v>
                      </c:pt>
                      <c:pt idx="28">
                        <c:v>1.2567380324375299E-2</c:v>
                      </c:pt>
                      <c:pt idx="29">
                        <c:v>1.2567380324375299E-2</c:v>
                      </c:pt>
                      <c:pt idx="30">
                        <c:v>1.2567380324375299E-2</c:v>
                      </c:pt>
                      <c:pt idx="31">
                        <c:v>1.2567380324375299E-2</c:v>
                      </c:pt>
                      <c:pt idx="32">
                        <c:v>1.2567380324375299E-2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5C0-4163-BF5A-17D7E7C2B040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GasesSummary!$W$14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GasesSummary!$W$15:$W$47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17.461500584074258</c:v>
                      </c:pt>
                      <c:pt idx="1">
                        <c:v>17.003629700718108</c:v>
                      </c:pt>
                      <c:pt idx="2">
                        <c:v>16.95778481660556</c:v>
                      </c:pt>
                      <c:pt idx="3">
                        <c:v>16.995559392205372</c:v>
                      </c:pt>
                      <c:pt idx="4">
                        <c:v>16.069131607519026</c:v>
                      </c:pt>
                      <c:pt idx="5">
                        <c:v>15.309488446611269</c:v>
                      </c:pt>
                      <c:pt idx="6">
                        <c:v>14.254918428930553</c:v>
                      </c:pt>
                      <c:pt idx="7">
                        <c:v>13.322121192259837</c:v>
                      </c:pt>
                      <c:pt idx="8">
                        <c:v>12.269168954269126</c:v>
                      </c:pt>
                      <c:pt idx="9">
                        <c:v>11.34808950350121</c:v>
                      </c:pt>
                      <c:pt idx="10">
                        <c:v>10.384255852715953</c:v>
                      </c:pt>
                      <c:pt idx="11">
                        <c:v>9.4435340516614303</c:v>
                      </c:pt>
                      <c:pt idx="12">
                        <c:v>8.5562875369268756</c:v>
                      </c:pt>
                      <c:pt idx="13">
                        <c:v>8.5562875369268756</c:v>
                      </c:pt>
                      <c:pt idx="14">
                        <c:v>8.5562875369268756</c:v>
                      </c:pt>
                      <c:pt idx="15">
                        <c:v>8.5562875369268756</c:v>
                      </c:pt>
                      <c:pt idx="16">
                        <c:v>8.5562875369268756</c:v>
                      </c:pt>
                      <c:pt idx="17">
                        <c:v>8.5562875369268756</c:v>
                      </c:pt>
                      <c:pt idx="18">
                        <c:v>8.5562875369268756</c:v>
                      </c:pt>
                      <c:pt idx="19">
                        <c:v>8.5562875369268756</c:v>
                      </c:pt>
                      <c:pt idx="20">
                        <c:v>8.5562875369268756</c:v>
                      </c:pt>
                      <c:pt idx="21">
                        <c:v>8.5562875369268756</c:v>
                      </c:pt>
                      <c:pt idx="22">
                        <c:v>8.5562875369268756</c:v>
                      </c:pt>
                      <c:pt idx="23">
                        <c:v>8.5562875369268756</c:v>
                      </c:pt>
                      <c:pt idx="24">
                        <c:v>8.5562875369268756</c:v>
                      </c:pt>
                      <c:pt idx="25">
                        <c:v>8.5562875369268756</c:v>
                      </c:pt>
                      <c:pt idx="26">
                        <c:v>8.5562875369268756</c:v>
                      </c:pt>
                      <c:pt idx="27">
                        <c:v>8.5562875369268756</c:v>
                      </c:pt>
                      <c:pt idx="28">
                        <c:v>8.5562875369268756</c:v>
                      </c:pt>
                      <c:pt idx="29">
                        <c:v>8.5562875369268756</c:v>
                      </c:pt>
                      <c:pt idx="30">
                        <c:v>8.5562875369268756</c:v>
                      </c:pt>
                      <c:pt idx="31">
                        <c:v>8.5562875369268756</c:v>
                      </c:pt>
                      <c:pt idx="32">
                        <c:v>8.5562875369268756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5C0-4163-BF5A-17D7E7C2B040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GasesSummary!$X$14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GasesSummary!$X$15:$X$47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6.7964318821924019</c:v>
                      </c:pt>
                      <c:pt idx="1">
                        <c:v>6.4419851898442033</c:v>
                      </c:pt>
                      <c:pt idx="2">
                        <c:v>6.4106200065022279</c:v>
                      </c:pt>
                      <c:pt idx="3">
                        <c:v>6.4364638168267305</c:v>
                      </c:pt>
                      <c:pt idx="4">
                        <c:v>6.0990505486929365</c:v>
                      </c:pt>
                      <c:pt idx="5">
                        <c:v>5.8757444575037905</c:v>
                      </c:pt>
                      <c:pt idx="6">
                        <c:v>5.450661546191248</c:v>
                      </c:pt>
                      <c:pt idx="7">
                        <c:v>5.1088905610919779</c:v>
                      </c:pt>
                      <c:pt idx="8">
                        <c:v>4.6849144680769648</c:v>
                      </c:pt>
                      <c:pt idx="9">
                        <c:v>4.3511603099436202</c:v>
                      </c:pt>
                      <c:pt idx="10">
                        <c:v>3.9881554873546476</c:v>
                      </c:pt>
                      <c:pt idx="11">
                        <c:v>3.6409628413740203</c:v>
                      </c:pt>
                      <c:pt idx="12">
                        <c:v>3.3303557859594544</c:v>
                      </c:pt>
                      <c:pt idx="13">
                        <c:v>3.3303557859594544</c:v>
                      </c:pt>
                      <c:pt idx="14">
                        <c:v>3.3303557859594544</c:v>
                      </c:pt>
                      <c:pt idx="15">
                        <c:v>3.3303557859594544</c:v>
                      </c:pt>
                      <c:pt idx="16">
                        <c:v>3.3303557859594544</c:v>
                      </c:pt>
                      <c:pt idx="17">
                        <c:v>3.3303557859594544</c:v>
                      </c:pt>
                      <c:pt idx="18">
                        <c:v>3.3303557859594544</c:v>
                      </c:pt>
                      <c:pt idx="19">
                        <c:v>3.3303557859594544</c:v>
                      </c:pt>
                      <c:pt idx="20">
                        <c:v>3.3303557859594544</c:v>
                      </c:pt>
                      <c:pt idx="21">
                        <c:v>3.3303557859594544</c:v>
                      </c:pt>
                      <c:pt idx="22">
                        <c:v>3.3303557859594544</c:v>
                      </c:pt>
                      <c:pt idx="23">
                        <c:v>3.3303557859594544</c:v>
                      </c:pt>
                      <c:pt idx="24">
                        <c:v>3.3303557859594544</c:v>
                      </c:pt>
                      <c:pt idx="25">
                        <c:v>3.3303557859594544</c:v>
                      </c:pt>
                      <c:pt idx="26">
                        <c:v>3.3303557859594544</c:v>
                      </c:pt>
                      <c:pt idx="27">
                        <c:v>3.3303557859594544</c:v>
                      </c:pt>
                      <c:pt idx="28">
                        <c:v>3.3303557859594544</c:v>
                      </c:pt>
                      <c:pt idx="29">
                        <c:v>3.3303557859594544</c:v>
                      </c:pt>
                      <c:pt idx="30">
                        <c:v>3.3303557859594544</c:v>
                      </c:pt>
                      <c:pt idx="31">
                        <c:v>3.3303557859594544</c:v>
                      </c:pt>
                      <c:pt idx="32">
                        <c:v>3.3303557859594544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5C0-4163-BF5A-17D7E7C2B040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GasesSummary!$Z$15:$Z$47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0.50970521136531088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5C0-4163-BF5A-17D7E7C2B040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GasesSummary!$AA$15:$AA$47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0.50999128077625655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5C0-4163-BF5A-17D7E7C2B040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GasesSummary!$AB$14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GasesSummary!$AB$15:$AB$47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13">
                        <c:v>-0.16651778929797273</c:v>
                      </c:pt>
                      <c:pt idx="14">
                        <c:v>-0.33303557859594546</c:v>
                      </c:pt>
                      <c:pt idx="15">
                        <c:v>-0.49955336789391819</c:v>
                      </c:pt>
                      <c:pt idx="16">
                        <c:v>-0.66607115719189092</c:v>
                      </c:pt>
                      <c:pt idx="17">
                        <c:v>-0.8325889464898637</c:v>
                      </c:pt>
                      <c:pt idx="18">
                        <c:v>-0.99910673578783649</c:v>
                      </c:pt>
                      <c:pt idx="19">
                        <c:v>-1.1656245250858093</c:v>
                      </c:pt>
                      <c:pt idx="20">
                        <c:v>-1.3321423143837821</c:v>
                      </c:pt>
                      <c:pt idx="21">
                        <c:v>-1.4986601036817548</c:v>
                      </c:pt>
                      <c:pt idx="22">
                        <c:v>-1.6651778929797276</c:v>
                      </c:pt>
                      <c:pt idx="23">
                        <c:v>-1.8316956822777004</c:v>
                      </c:pt>
                      <c:pt idx="24">
                        <c:v>-1.9982134715756732</c:v>
                      </c:pt>
                      <c:pt idx="25">
                        <c:v>-2.164731260873646</c:v>
                      </c:pt>
                      <c:pt idx="26">
                        <c:v>-2.3312490501716185</c:v>
                      </c:pt>
                      <c:pt idx="27">
                        <c:v>-2.4977668394695911</c:v>
                      </c:pt>
                      <c:pt idx="28">
                        <c:v>-2.6642846287675637</c:v>
                      </c:pt>
                      <c:pt idx="29">
                        <c:v>-2.8308024180655362</c:v>
                      </c:pt>
                      <c:pt idx="30">
                        <c:v>-2.9973202073635088</c:v>
                      </c:pt>
                      <c:pt idx="31">
                        <c:v>-3.1638379966614814</c:v>
                      </c:pt>
                      <c:pt idx="32">
                        <c:v>-3.3303557859594539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5C0-4163-BF5A-17D7E7C2B040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GasesSummary!$AC$14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GasesSummary!$AC$15:$AC$47</c15:sqref>
                        </c15:formulaRef>
                      </c:ext>
                    </c:extLst>
                    <c:numCache>
                      <c:formatCode>0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5C0-4163-BF5A-17D7E7C2B040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GasesSummary!$AD$14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GasesSummary!$AD$15:$AD$47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44.05311996590261</c:v>
                      </c:pt>
                      <c:pt idx="1">
                        <c:v>42.847003375390081</c:v>
                      </c:pt>
                      <c:pt idx="2">
                        <c:v>37.397075829274357</c:v>
                      </c:pt>
                      <c:pt idx="3">
                        <c:v>39.439582806773323</c:v>
                      </c:pt>
                      <c:pt idx="4">
                        <c:v>39.783620509637402</c:v>
                      </c:pt>
                      <c:pt idx="5">
                        <c:v>40.4570240220391</c:v>
                      </c:pt>
                      <c:pt idx="6">
                        <c:v>35.419580446465218</c:v>
                      </c:pt>
                      <c:pt idx="7">
                        <c:v>31.759930339225079</c:v>
                      </c:pt>
                      <c:pt idx="8">
                        <c:v>27.541093595451695</c:v>
                      </c:pt>
                      <c:pt idx="9">
                        <c:v>24.690303631719004</c:v>
                      </c:pt>
                      <c:pt idx="10">
                        <c:v>21.805614766046951</c:v>
                      </c:pt>
                      <c:pt idx="11">
                        <c:v>19.369006426960006</c:v>
                      </c:pt>
                      <c:pt idx="12">
                        <c:v>17.586324234694192</c:v>
                      </c:pt>
                      <c:pt idx="13">
                        <c:v>16.707008022959492</c:v>
                      </c:pt>
                      <c:pt idx="14">
                        <c:v>15.827691811224769</c:v>
                      </c:pt>
                      <c:pt idx="15">
                        <c:v>14.948375599490069</c:v>
                      </c:pt>
                      <c:pt idx="16">
                        <c:v>14.069059387755347</c:v>
                      </c:pt>
                      <c:pt idx="17">
                        <c:v>13.18974317602064</c:v>
                      </c:pt>
                      <c:pt idx="18">
                        <c:v>12.310426964285941</c:v>
                      </c:pt>
                      <c:pt idx="19">
                        <c:v>11.431110752551229</c:v>
                      </c:pt>
                      <c:pt idx="20">
                        <c:v>10.551794540816505</c:v>
                      </c:pt>
                      <c:pt idx="21">
                        <c:v>9.6724783290818124</c:v>
                      </c:pt>
                      <c:pt idx="22">
                        <c:v>8.7931621173470909</c:v>
                      </c:pt>
                      <c:pt idx="23">
                        <c:v>7.9138459056123791</c:v>
                      </c:pt>
                      <c:pt idx="24">
                        <c:v>7.0345296938776816</c:v>
                      </c:pt>
                      <c:pt idx="25">
                        <c:v>6.1552134821429654</c:v>
                      </c:pt>
                      <c:pt idx="26">
                        <c:v>5.275897270408251</c:v>
                      </c:pt>
                      <c:pt idx="27">
                        <c:v>4.3965810586735552</c:v>
                      </c:pt>
                      <c:pt idx="28">
                        <c:v>3.5172648469388332</c:v>
                      </c:pt>
                      <c:pt idx="29">
                        <c:v>2.6379486352041273</c:v>
                      </c:pt>
                      <c:pt idx="30">
                        <c:v>1.7586324234694144</c:v>
                      </c:pt>
                      <c:pt idx="31">
                        <c:v>0.87931621173470897</c:v>
                      </c:pt>
                      <c:pt idx="32">
                        <c:v>-1.2687585701894498E-14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5C0-4163-BF5A-17D7E7C2B040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GasesSummary!$AE$14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GasesSummary!$AE$15:$AE$47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0.62362502085979499</c:v>
                      </c:pt>
                      <c:pt idx="1">
                        <c:v>0.60727248931136102</c:v>
                      </c:pt>
                      <c:pt idx="2">
                        <c:v>0.60563517202162709</c:v>
                      </c:pt>
                      <c:pt idx="3">
                        <c:v>0.60698426400733474</c:v>
                      </c:pt>
                      <c:pt idx="4">
                        <c:v>0.58600902636719299</c:v>
                      </c:pt>
                      <c:pt idx="5">
                        <c:v>0.57099038243342937</c:v>
                      </c:pt>
                      <c:pt idx="6">
                        <c:v>0.54543863647206026</c:v>
                      </c:pt>
                      <c:pt idx="7">
                        <c:v>0.52423591840390538</c:v>
                      </c:pt>
                      <c:pt idx="8">
                        <c:v>0.49874195028860768</c:v>
                      </c:pt>
                      <c:pt idx="9">
                        <c:v>0.47795772457412411</c:v>
                      </c:pt>
                      <c:pt idx="10">
                        <c:v>0.45564656314473551</c:v>
                      </c:pt>
                      <c:pt idx="11">
                        <c:v>0.43416082492001606</c:v>
                      </c:pt>
                      <c:pt idx="12">
                        <c:v>0.41458491834958111</c:v>
                      </c:pt>
                      <c:pt idx="13">
                        <c:v>0.41458491834958111</c:v>
                      </c:pt>
                      <c:pt idx="14">
                        <c:v>0.41458491834958111</c:v>
                      </c:pt>
                      <c:pt idx="15">
                        <c:v>0.41458491834958111</c:v>
                      </c:pt>
                      <c:pt idx="16">
                        <c:v>0.41458491834958111</c:v>
                      </c:pt>
                      <c:pt idx="17">
                        <c:v>0.41458491834958111</c:v>
                      </c:pt>
                      <c:pt idx="18">
                        <c:v>0.41458491834958111</c:v>
                      </c:pt>
                      <c:pt idx="19">
                        <c:v>0.41458491834958111</c:v>
                      </c:pt>
                      <c:pt idx="20">
                        <c:v>0.41458491834958111</c:v>
                      </c:pt>
                      <c:pt idx="21">
                        <c:v>0.41458491834958111</c:v>
                      </c:pt>
                      <c:pt idx="22">
                        <c:v>0.41458491834958111</c:v>
                      </c:pt>
                      <c:pt idx="23">
                        <c:v>0.41458491834958111</c:v>
                      </c:pt>
                      <c:pt idx="24">
                        <c:v>0.41458491834958111</c:v>
                      </c:pt>
                      <c:pt idx="25">
                        <c:v>0.41458491834958111</c:v>
                      </c:pt>
                      <c:pt idx="26">
                        <c:v>0.41458491834958111</c:v>
                      </c:pt>
                      <c:pt idx="27">
                        <c:v>0.41458491834958111</c:v>
                      </c:pt>
                      <c:pt idx="28">
                        <c:v>0.41458491834958111</c:v>
                      </c:pt>
                      <c:pt idx="29">
                        <c:v>0.41458491834958111</c:v>
                      </c:pt>
                      <c:pt idx="30">
                        <c:v>0.41458491834958111</c:v>
                      </c:pt>
                      <c:pt idx="31">
                        <c:v>0.41458491834958111</c:v>
                      </c:pt>
                      <c:pt idx="32">
                        <c:v>0.41458491834958111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5C0-4163-BF5A-17D7E7C2B040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GasesSummary!$AF$15:$AF$47</c15:sqref>
                        </c15:formulaRef>
                      </c:ext>
                    </c:extLst>
                    <c:numCache>
                      <c:formatCode>0.00</c:formatCode>
                      <c:ptCount val="33"/>
                      <c:pt idx="0">
                        <c:v>2.5646912762990196E-2</c:v>
                      </c:pt>
                      <c:pt idx="1">
                        <c:v>2.4309378074883786E-2</c:v>
                      </c:pt>
                      <c:pt idx="2">
                        <c:v>2.4191018892461238E-2</c:v>
                      </c:pt>
                      <c:pt idx="3">
                        <c:v>2.4288542705006529E-2</c:v>
                      </c:pt>
                      <c:pt idx="4">
                        <c:v>2.3502124928149033E-2</c:v>
                      </c:pt>
                      <c:pt idx="5">
                        <c:v>2.3146300271837377E-2</c:v>
                      </c:pt>
                      <c:pt idx="6">
                        <c:v>2.2029053652795921E-2</c:v>
                      </c:pt>
                      <c:pt idx="7">
                        <c:v>2.1226191660974364E-2</c:v>
                      </c:pt>
                      <c:pt idx="8">
                        <c:v>2.0113121714753775E-2</c:v>
                      </c:pt>
                      <c:pt idx="9">
                        <c:v>1.9340511900162123E-2</c:v>
                      </c:pt>
                      <c:pt idx="10">
                        <c:v>1.8457522219700179E-2</c:v>
                      </c:pt>
                      <c:pt idx="11">
                        <c:v>1.763420113021312E-2</c:v>
                      </c:pt>
                      <c:pt idx="12">
                        <c:v>1.6948938873050819E-2</c:v>
                      </c:pt>
                      <c:pt idx="13">
                        <c:v>1.6948938873050819E-2</c:v>
                      </c:pt>
                      <c:pt idx="14">
                        <c:v>1.6948938873050819E-2</c:v>
                      </c:pt>
                      <c:pt idx="15">
                        <c:v>1.6948938873050819E-2</c:v>
                      </c:pt>
                      <c:pt idx="16">
                        <c:v>1.6948938873050819E-2</c:v>
                      </c:pt>
                      <c:pt idx="17">
                        <c:v>1.6948938873050819E-2</c:v>
                      </c:pt>
                      <c:pt idx="18">
                        <c:v>1.6948938873050819E-2</c:v>
                      </c:pt>
                      <c:pt idx="19">
                        <c:v>1.6948938873050819E-2</c:v>
                      </c:pt>
                      <c:pt idx="20">
                        <c:v>1.6948938873050819E-2</c:v>
                      </c:pt>
                      <c:pt idx="21">
                        <c:v>1.6948938873050819E-2</c:v>
                      </c:pt>
                      <c:pt idx="22">
                        <c:v>1.6948938873050819E-2</c:v>
                      </c:pt>
                      <c:pt idx="23">
                        <c:v>1.6948938873050819E-2</c:v>
                      </c:pt>
                      <c:pt idx="24">
                        <c:v>1.6948938873050819E-2</c:v>
                      </c:pt>
                      <c:pt idx="25">
                        <c:v>1.6948938873050819E-2</c:v>
                      </c:pt>
                      <c:pt idx="26">
                        <c:v>1.6948938873050819E-2</c:v>
                      </c:pt>
                      <c:pt idx="27">
                        <c:v>1.6948938873050819E-2</c:v>
                      </c:pt>
                      <c:pt idx="28">
                        <c:v>1.6948938873050819E-2</c:v>
                      </c:pt>
                      <c:pt idx="29">
                        <c:v>1.6948938873050819E-2</c:v>
                      </c:pt>
                      <c:pt idx="30">
                        <c:v>1.6948938873050819E-2</c:v>
                      </c:pt>
                      <c:pt idx="31">
                        <c:v>1.6948938873050819E-2</c:v>
                      </c:pt>
                      <c:pt idx="32">
                        <c:v>1.6948938873050819E-2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5C0-4163-BF5A-17D7E7C2B040}"/>
                  </c:ext>
                </c:extLst>
              </c15:ser>
            </c15:filteredScatterSeries>
            <c15:filteredScatte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GasesSummary!$AG$14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GasesSummary!$AG$15:$AG$47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17.461500584074258</c:v>
                      </c:pt>
                      <c:pt idx="1">
                        <c:v>17.003629700718108</c:v>
                      </c:pt>
                      <c:pt idx="2">
                        <c:v>16.95778481660556</c:v>
                      </c:pt>
                      <c:pt idx="3">
                        <c:v>16.995559392205372</c:v>
                      </c:pt>
                      <c:pt idx="4">
                        <c:v>16.408252738281405</c:v>
                      </c:pt>
                      <c:pt idx="5">
                        <c:v>15.987730708136022</c:v>
                      </c:pt>
                      <c:pt idx="6">
                        <c:v>15.272281821217687</c:v>
                      </c:pt>
                      <c:pt idx="7">
                        <c:v>14.678605715309351</c:v>
                      </c:pt>
                      <c:pt idx="8">
                        <c:v>13.964774608081015</c:v>
                      </c:pt>
                      <c:pt idx="9">
                        <c:v>13.382816288075475</c:v>
                      </c:pt>
                      <c:pt idx="10">
                        <c:v>12.758103768052594</c:v>
                      </c:pt>
                      <c:pt idx="11">
                        <c:v>12.156503097760449</c:v>
                      </c:pt>
                      <c:pt idx="12">
                        <c:v>11.608377713788272</c:v>
                      </c:pt>
                      <c:pt idx="13">
                        <c:v>11.608377713788272</c:v>
                      </c:pt>
                      <c:pt idx="14">
                        <c:v>11.608377713788272</c:v>
                      </c:pt>
                      <c:pt idx="15">
                        <c:v>11.608377713788272</c:v>
                      </c:pt>
                      <c:pt idx="16">
                        <c:v>11.608377713788272</c:v>
                      </c:pt>
                      <c:pt idx="17">
                        <c:v>11.608377713788272</c:v>
                      </c:pt>
                      <c:pt idx="18">
                        <c:v>11.608377713788272</c:v>
                      </c:pt>
                      <c:pt idx="19">
                        <c:v>11.608377713788272</c:v>
                      </c:pt>
                      <c:pt idx="20">
                        <c:v>11.608377713788272</c:v>
                      </c:pt>
                      <c:pt idx="21">
                        <c:v>11.608377713788272</c:v>
                      </c:pt>
                      <c:pt idx="22">
                        <c:v>11.608377713788272</c:v>
                      </c:pt>
                      <c:pt idx="23">
                        <c:v>11.608377713788272</c:v>
                      </c:pt>
                      <c:pt idx="24">
                        <c:v>11.608377713788272</c:v>
                      </c:pt>
                      <c:pt idx="25">
                        <c:v>11.608377713788272</c:v>
                      </c:pt>
                      <c:pt idx="26">
                        <c:v>11.608377713788272</c:v>
                      </c:pt>
                      <c:pt idx="27">
                        <c:v>11.608377713788272</c:v>
                      </c:pt>
                      <c:pt idx="28">
                        <c:v>11.608377713788272</c:v>
                      </c:pt>
                      <c:pt idx="29">
                        <c:v>11.608377713788272</c:v>
                      </c:pt>
                      <c:pt idx="30">
                        <c:v>11.608377713788272</c:v>
                      </c:pt>
                      <c:pt idx="31">
                        <c:v>11.608377713788272</c:v>
                      </c:pt>
                      <c:pt idx="32">
                        <c:v>11.608377713788272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5C0-4163-BF5A-17D7E7C2B040}"/>
                  </c:ext>
                </c:extLst>
              </c15:ser>
            </c15:filteredScatterSeries>
            <c15:filteredScatte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GasesSummary!$AH$14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GasesSummary!$AH$15:$AH$47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6.7964318821924019</c:v>
                      </c:pt>
                      <c:pt idx="1">
                        <c:v>6.4419851898442033</c:v>
                      </c:pt>
                      <c:pt idx="2">
                        <c:v>6.4106200065022279</c:v>
                      </c:pt>
                      <c:pt idx="3">
                        <c:v>6.4364638168267305</c:v>
                      </c:pt>
                      <c:pt idx="4">
                        <c:v>6.2280631059594933</c:v>
                      </c:pt>
                      <c:pt idx="5">
                        <c:v>6.133769572036905</c:v>
                      </c:pt>
                      <c:pt idx="6">
                        <c:v>5.8376992179909193</c:v>
                      </c:pt>
                      <c:pt idx="7">
                        <c:v>5.624940790158206</c:v>
                      </c:pt>
                      <c:pt idx="8">
                        <c:v>5.3299772544097506</c:v>
                      </c:pt>
                      <c:pt idx="9">
                        <c:v>5.1252356535429628</c:v>
                      </c:pt>
                      <c:pt idx="10">
                        <c:v>4.8912433882205475</c:v>
                      </c:pt>
                      <c:pt idx="11">
                        <c:v>4.6730632995064765</c:v>
                      </c:pt>
                      <c:pt idx="12">
                        <c:v>4.4914688013584669</c:v>
                      </c:pt>
                      <c:pt idx="13">
                        <c:v>4.4914688013584669</c:v>
                      </c:pt>
                      <c:pt idx="14">
                        <c:v>4.4914688013584669</c:v>
                      </c:pt>
                      <c:pt idx="15">
                        <c:v>4.4914688013584669</c:v>
                      </c:pt>
                      <c:pt idx="16">
                        <c:v>4.4914688013584669</c:v>
                      </c:pt>
                      <c:pt idx="17">
                        <c:v>4.4914688013584669</c:v>
                      </c:pt>
                      <c:pt idx="18">
                        <c:v>4.4914688013584669</c:v>
                      </c:pt>
                      <c:pt idx="19">
                        <c:v>4.4914688013584669</c:v>
                      </c:pt>
                      <c:pt idx="20">
                        <c:v>4.4914688013584669</c:v>
                      </c:pt>
                      <c:pt idx="21">
                        <c:v>4.4914688013584669</c:v>
                      </c:pt>
                      <c:pt idx="22">
                        <c:v>4.4914688013584669</c:v>
                      </c:pt>
                      <c:pt idx="23">
                        <c:v>4.4914688013584669</c:v>
                      </c:pt>
                      <c:pt idx="24">
                        <c:v>4.4914688013584669</c:v>
                      </c:pt>
                      <c:pt idx="25">
                        <c:v>4.4914688013584669</c:v>
                      </c:pt>
                      <c:pt idx="26">
                        <c:v>4.4914688013584669</c:v>
                      </c:pt>
                      <c:pt idx="27">
                        <c:v>4.4914688013584669</c:v>
                      </c:pt>
                      <c:pt idx="28">
                        <c:v>4.4914688013584669</c:v>
                      </c:pt>
                      <c:pt idx="29">
                        <c:v>4.4914688013584669</c:v>
                      </c:pt>
                      <c:pt idx="30">
                        <c:v>4.4914688013584669</c:v>
                      </c:pt>
                      <c:pt idx="31">
                        <c:v>4.4914688013584669</c:v>
                      </c:pt>
                      <c:pt idx="32">
                        <c:v>4.4914688013584669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5C0-4163-BF5A-17D7E7C2B040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GasesSummary!$AJ$15:$AJ$47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0.60079276454639041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5C0-4163-BF5A-17D7E7C2B040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GasesSummary!$AK$15:$AK$47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0.33520159634071323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5C0-4163-BF5A-17D7E7C2B040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GasesSummary!$AL$14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GasesSummary!$AL$15:$AL$47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13">
                        <c:v>-0.22457344006792335</c:v>
                      </c:pt>
                      <c:pt idx="14">
                        <c:v>-0.44914688013584669</c:v>
                      </c:pt>
                      <c:pt idx="15">
                        <c:v>-0.67372032020377004</c:v>
                      </c:pt>
                      <c:pt idx="16">
                        <c:v>-0.89829376027169339</c:v>
                      </c:pt>
                      <c:pt idx="17">
                        <c:v>-1.1228672003396167</c:v>
                      </c:pt>
                      <c:pt idx="18">
                        <c:v>-1.3474406404075401</c:v>
                      </c:pt>
                      <c:pt idx="19">
                        <c:v>-1.5720140804754634</c:v>
                      </c:pt>
                      <c:pt idx="20">
                        <c:v>-1.7965875205433868</c:v>
                      </c:pt>
                      <c:pt idx="21">
                        <c:v>-2.0211609606113101</c:v>
                      </c:pt>
                      <c:pt idx="22">
                        <c:v>-2.2457344006792335</c:v>
                      </c:pt>
                      <c:pt idx="23">
                        <c:v>-2.4703078407471568</c:v>
                      </c:pt>
                      <c:pt idx="24">
                        <c:v>-2.6948812808150802</c:v>
                      </c:pt>
                      <c:pt idx="25">
                        <c:v>-2.9194547208830035</c:v>
                      </c:pt>
                      <c:pt idx="26">
                        <c:v>-3.1440281609509269</c:v>
                      </c:pt>
                      <c:pt idx="27">
                        <c:v>-3.3686016010188502</c:v>
                      </c:pt>
                      <c:pt idx="28">
                        <c:v>-3.5931750410867735</c:v>
                      </c:pt>
                      <c:pt idx="29">
                        <c:v>-3.8177484811546969</c:v>
                      </c:pt>
                      <c:pt idx="30">
                        <c:v>-4.0423219212226202</c:v>
                      </c:pt>
                      <c:pt idx="31">
                        <c:v>-4.266895361290544</c:v>
                      </c:pt>
                      <c:pt idx="32">
                        <c:v>-4.4914688013584669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5C0-4163-BF5A-17D7E7C2B040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GasesSummary!$AM$14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GasesSummary!$AM$15:$AM$47</c15:sqref>
                        </c15:formulaRef>
                      </c:ext>
                    </c:extLst>
                    <c:numCache>
                      <c:formatCode>0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55C0-4163-BF5A-17D7E7C2B040}"/>
                  </c:ext>
                </c:extLst>
              </c15:ser>
            </c15:filteredScatterSeries>
            <c15:filteredScatte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GasesSummary!$AN$14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GasesSummary!$AN$15:$AN$47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44.05311996590261</c:v>
                      </c:pt>
                      <c:pt idx="1">
                        <c:v>42.847003375390081</c:v>
                      </c:pt>
                      <c:pt idx="2">
                        <c:v>37.397075829274357</c:v>
                      </c:pt>
                      <c:pt idx="3">
                        <c:v>39.435832369375916</c:v>
                      </c:pt>
                      <c:pt idx="4">
                        <c:v>39.776119634842686</c:v>
                      </c:pt>
                      <c:pt idx="5">
                        <c:v>40.445772709846956</c:v>
                      </c:pt>
                      <c:pt idx="6">
                        <c:v>34.929556881996604</c:v>
                      </c:pt>
                      <c:pt idx="7">
                        <c:v>30.904049544049634</c:v>
                      </c:pt>
                      <c:pt idx="8">
                        <c:v>26.410855673255206</c:v>
                      </c:pt>
                      <c:pt idx="9">
                        <c:v>23.360660795095029</c:v>
                      </c:pt>
                      <c:pt idx="10">
                        <c:v>20.337891552572088</c:v>
                      </c:pt>
                      <c:pt idx="11">
                        <c:v>17.811873104552195</c:v>
                      </c:pt>
                      <c:pt idx="12">
                        <c:v>15.980663828404511</c:v>
                      </c:pt>
                      <c:pt idx="13">
                        <c:v>15.181630636984289</c:v>
                      </c:pt>
                      <c:pt idx="14">
                        <c:v>14.382597445564068</c:v>
                      </c:pt>
                      <c:pt idx="15">
                        <c:v>13.583564254143836</c:v>
                      </c:pt>
                      <c:pt idx="16">
                        <c:v>12.784531062723604</c:v>
                      </c:pt>
                      <c:pt idx="17">
                        <c:v>11.985497871303387</c:v>
                      </c:pt>
                      <c:pt idx="18">
                        <c:v>11.186464679883153</c:v>
                      </c:pt>
                      <c:pt idx="19">
                        <c:v>10.387431488462932</c:v>
                      </c:pt>
                      <c:pt idx="20">
                        <c:v>9.5883982970427066</c:v>
                      </c:pt>
                      <c:pt idx="21">
                        <c:v>8.7893651056224851</c:v>
                      </c:pt>
                      <c:pt idx="22">
                        <c:v>7.990331914202244</c:v>
                      </c:pt>
                      <c:pt idx="23">
                        <c:v>7.1912987227820286</c:v>
                      </c:pt>
                      <c:pt idx="24">
                        <c:v>6.3922655313618026</c:v>
                      </c:pt>
                      <c:pt idx="25">
                        <c:v>5.593232339941574</c:v>
                      </c:pt>
                      <c:pt idx="26">
                        <c:v>4.7941991485213613</c:v>
                      </c:pt>
                      <c:pt idx="27">
                        <c:v>3.9951659571011287</c:v>
                      </c:pt>
                      <c:pt idx="28">
                        <c:v>3.1961327656808964</c:v>
                      </c:pt>
                      <c:pt idx="29">
                        <c:v>2.3970995742606847</c:v>
                      </c:pt>
                      <c:pt idx="30">
                        <c:v>1.598066382840446</c:v>
                      </c:pt>
                      <c:pt idx="31">
                        <c:v>0.79903319142022455</c:v>
                      </c:pt>
                      <c:pt idx="32">
                        <c:v>-9.6488780250976305E-15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55C0-4163-BF5A-17D7E7C2B040}"/>
                  </c:ext>
                </c:extLst>
              </c15:ser>
            </c15:filteredScatterSeries>
            <c15:filteredScatte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GasesSummary!$AO$14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GasesSummary!$AO$15:$AO$47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0.62362502085979499</c:v>
                      </c:pt>
                      <c:pt idx="1">
                        <c:v>0.60727248931136102</c:v>
                      </c:pt>
                      <c:pt idx="2">
                        <c:v>0.60563517202162709</c:v>
                      </c:pt>
                      <c:pt idx="3">
                        <c:v>0.60698426400733474</c:v>
                      </c:pt>
                      <c:pt idx="4">
                        <c:v>0.59071904207222603</c:v>
                      </c:pt>
                      <c:pt idx="5">
                        <c:v>0.58041041384349545</c:v>
                      </c:pt>
                      <c:pt idx="6">
                        <c:v>0.55956868358715939</c:v>
                      </c:pt>
                      <c:pt idx="7">
                        <c:v>0.54307598122403755</c:v>
                      </c:pt>
                      <c:pt idx="8">
                        <c:v>0.52229202881377301</c:v>
                      </c:pt>
                      <c:pt idx="9">
                        <c:v>0.50621781880432237</c:v>
                      </c:pt>
                      <c:pt idx="10">
                        <c:v>0.48861667307996687</c:v>
                      </c:pt>
                      <c:pt idx="11">
                        <c:v>0.47184095056028047</c:v>
                      </c:pt>
                      <c:pt idx="12">
                        <c:v>0.45697505969487856</c:v>
                      </c:pt>
                      <c:pt idx="13">
                        <c:v>0.45697505969487856</c:v>
                      </c:pt>
                      <c:pt idx="14">
                        <c:v>0.45697505969487856</c:v>
                      </c:pt>
                      <c:pt idx="15">
                        <c:v>0.45697505969487856</c:v>
                      </c:pt>
                      <c:pt idx="16">
                        <c:v>0.45697505969487856</c:v>
                      </c:pt>
                      <c:pt idx="17">
                        <c:v>0.45697505969487856</c:v>
                      </c:pt>
                      <c:pt idx="18">
                        <c:v>0.45697505969487856</c:v>
                      </c:pt>
                      <c:pt idx="19">
                        <c:v>0.45697505969487856</c:v>
                      </c:pt>
                      <c:pt idx="20">
                        <c:v>0.45697505969487856</c:v>
                      </c:pt>
                      <c:pt idx="21">
                        <c:v>0.45697505969487856</c:v>
                      </c:pt>
                      <c:pt idx="22">
                        <c:v>0.45697505969487856</c:v>
                      </c:pt>
                      <c:pt idx="23">
                        <c:v>0.45697505969487856</c:v>
                      </c:pt>
                      <c:pt idx="24">
                        <c:v>0.45697505969487856</c:v>
                      </c:pt>
                      <c:pt idx="25">
                        <c:v>0.45697505969487856</c:v>
                      </c:pt>
                      <c:pt idx="26">
                        <c:v>0.45697505969487856</c:v>
                      </c:pt>
                      <c:pt idx="27">
                        <c:v>0.45697505969487856</c:v>
                      </c:pt>
                      <c:pt idx="28">
                        <c:v>0.45697505969487856</c:v>
                      </c:pt>
                      <c:pt idx="29">
                        <c:v>0.45697505969487856</c:v>
                      </c:pt>
                      <c:pt idx="30">
                        <c:v>0.45697505969487856</c:v>
                      </c:pt>
                      <c:pt idx="31">
                        <c:v>0.45697505969487856</c:v>
                      </c:pt>
                      <c:pt idx="32">
                        <c:v>0.45697505969487856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5C0-4163-BF5A-17D7E7C2B040}"/>
                  </c:ext>
                </c:extLst>
              </c15:ser>
            </c15:filteredScatterSeries>
            <c15:filteredScatte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GasesSummary!$AP$15:$AP$47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2.5646912762990196E-2</c:v>
                      </c:pt>
                      <c:pt idx="1">
                        <c:v>2.4309378074883786E-2</c:v>
                      </c:pt>
                      <c:pt idx="2">
                        <c:v>2.4191018892461238E-2</c:v>
                      </c:pt>
                      <c:pt idx="3">
                        <c:v>2.4288542705006529E-2</c:v>
                      </c:pt>
                      <c:pt idx="4">
                        <c:v>2.3691451532104148E-2</c:v>
                      </c:pt>
                      <c:pt idx="5">
                        <c:v>2.3524953479747607E-2</c:v>
                      </c:pt>
                      <c:pt idx="6">
                        <c:v>2.2597033464661267E-2</c:v>
                      </c:pt>
                      <c:pt idx="7">
                        <c:v>2.1983498076794825E-2</c:v>
                      </c:pt>
                      <c:pt idx="8">
                        <c:v>2.1059754734529351E-2</c:v>
                      </c:pt>
                      <c:pt idx="9">
                        <c:v>2.0476471523892814E-2</c:v>
                      </c:pt>
                      <c:pt idx="10">
                        <c:v>1.9782808447385985E-2</c:v>
                      </c:pt>
                      <c:pt idx="11">
                        <c:v>1.9148813961854041E-2</c:v>
                      </c:pt>
                      <c:pt idx="12">
                        <c:v>1.8652878308646856E-2</c:v>
                      </c:pt>
                      <c:pt idx="13">
                        <c:v>1.8652878308646856E-2</c:v>
                      </c:pt>
                      <c:pt idx="14">
                        <c:v>1.8652878308646856E-2</c:v>
                      </c:pt>
                      <c:pt idx="15">
                        <c:v>1.8652878308646856E-2</c:v>
                      </c:pt>
                      <c:pt idx="16">
                        <c:v>1.8652878308646856E-2</c:v>
                      </c:pt>
                      <c:pt idx="17">
                        <c:v>1.8652878308646856E-2</c:v>
                      </c:pt>
                      <c:pt idx="18">
                        <c:v>1.8652878308646856E-2</c:v>
                      </c:pt>
                      <c:pt idx="19">
                        <c:v>1.8652878308646856E-2</c:v>
                      </c:pt>
                      <c:pt idx="20">
                        <c:v>1.8652878308646856E-2</c:v>
                      </c:pt>
                      <c:pt idx="21">
                        <c:v>1.8652878308646856E-2</c:v>
                      </c:pt>
                      <c:pt idx="22">
                        <c:v>1.8652878308646856E-2</c:v>
                      </c:pt>
                      <c:pt idx="23">
                        <c:v>1.8652878308646856E-2</c:v>
                      </c:pt>
                      <c:pt idx="24">
                        <c:v>1.8652878308646856E-2</c:v>
                      </c:pt>
                      <c:pt idx="25">
                        <c:v>1.8652878308646856E-2</c:v>
                      </c:pt>
                      <c:pt idx="26">
                        <c:v>1.8652878308646856E-2</c:v>
                      </c:pt>
                      <c:pt idx="27">
                        <c:v>1.8652878308646856E-2</c:v>
                      </c:pt>
                      <c:pt idx="28">
                        <c:v>1.8652878308646856E-2</c:v>
                      </c:pt>
                      <c:pt idx="29">
                        <c:v>1.8652878308646856E-2</c:v>
                      </c:pt>
                      <c:pt idx="30">
                        <c:v>1.8652878308646856E-2</c:v>
                      </c:pt>
                      <c:pt idx="31">
                        <c:v>1.8652878308646856E-2</c:v>
                      </c:pt>
                      <c:pt idx="32">
                        <c:v>1.8652878308646856E-2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55C0-4163-BF5A-17D7E7C2B040}"/>
                  </c:ext>
                </c:extLst>
              </c15:ser>
            </c15:filteredScatterSeries>
            <c15:filteredScatte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GasesSummary!$AQ$14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GasesSummary!$AQ$15:$AQ$47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17.461500584074258</c:v>
                      </c:pt>
                      <c:pt idx="1">
                        <c:v>17.003629700718108</c:v>
                      </c:pt>
                      <c:pt idx="2">
                        <c:v>16.95778481660556</c:v>
                      </c:pt>
                      <c:pt idx="3">
                        <c:v>16.995559392205372</c:v>
                      </c:pt>
                      <c:pt idx="4">
                        <c:v>16.54013317802233</c:v>
                      </c:pt>
                      <c:pt idx="5">
                        <c:v>16.251491587617874</c:v>
                      </c:pt>
                      <c:pt idx="6">
                        <c:v>15.667923140440463</c:v>
                      </c:pt>
                      <c:pt idx="7">
                        <c:v>15.206127474273051</c:v>
                      </c:pt>
                      <c:pt idx="8">
                        <c:v>14.624176806785645</c:v>
                      </c:pt>
                      <c:pt idx="9">
                        <c:v>14.174098926521026</c:v>
                      </c:pt>
                      <c:pt idx="10">
                        <c:v>13.681266846239073</c:v>
                      </c:pt>
                      <c:pt idx="11">
                        <c:v>13.211546615687853</c:v>
                      </c:pt>
                      <c:pt idx="12">
                        <c:v>12.795301671456599</c:v>
                      </c:pt>
                      <c:pt idx="13">
                        <c:v>12.795301671456599</c:v>
                      </c:pt>
                      <c:pt idx="14">
                        <c:v>12.795301671456599</c:v>
                      </c:pt>
                      <c:pt idx="15">
                        <c:v>12.795301671456599</c:v>
                      </c:pt>
                      <c:pt idx="16">
                        <c:v>12.795301671456599</c:v>
                      </c:pt>
                      <c:pt idx="17">
                        <c:v>12.795301671456599</c:v>
                      </c:pt>
                      <c:pt idx="18">
                        <c:v>12.795301671456599</c:v>
                      </c:pt>
                      <c:pt idx="19">
                        <c:v>12.795301671456599</c:v>
                      </c:pt>
                      <c:pt idx="20">
                        <c:v>12.795301671456599</c:v>
                      </c:pt>
                      <c:pt idx="21">
                        <c:v>12.795301671456599</c:v>
                      </c:pt>
                      <c:pt idx="22">
                        <c:v>12.795301671456599</c:v>
                      </c:pt>
                      <c:pt idx="23">
                        <c:v>12.795301671456599</c:v>
                      </c:pt>
                      <c:pt idx="24">
                        <c:v>12.795301671456599</c:v>
                      </c:pt>
                      <c:pt idx="25">
                        <c:v>12.795301671456599</c:v>
                      </c:pt>
                      <c:pt idx="26">
                        <c:v>12.795301671456599</c:v>
                      </c:pt>
                      <c:pt idx="27">
                        <c:v>12.795301671456599</c:v>
                      </c:pt>
                      <c:pt idx="28">
                        <c:v>12.795301671456599</c:v>
                      </c:pt>
                      <c:pt idx="29">
                        <c:v>12.795301671456599</c:v>
                      </c:pt>
                      <c:pt idx="30">
                        <c:v>12.795301671456599</c:v>
                      </c:pt>
                      <c:pt idx="31">
                        <c:v>12.795301671456599</c:v>
                      </c:pt>
                      <c:pt idx="32">
                        <c:v>12.795301671456599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55C0-4163-BF5A-17D7E7C2B040}"/>
                  </c:ext>
                </c:extLst>
              </c15:ser>
            </c15:filteredScatterSeries>
            <c15:filteredScatte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GasesSummary!$AR$14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GasesSummary!$AR$15:$AR$47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6.7964318821924019</c:v>
                      </c:pt>
                      <c:pt idx="1">
                        <c:v>6.4419851898442033</c:v>
                      </c:pt>
                      <c:pt idx="2">
                        <c:v>6.4106200065022279</c:v>
                      </c:pt>
                      <c:pt idx="3">
                        <c:v>6.4364638168267305</c:v>
                      </c:pt>
                      <c:pt idx="4">
                        <c:v>6.2782346560075988</c:v>
                      </c:pt>
                      <c:pt idx="5">
                        <c:v>6.2341126721331159</c:v>
                      </c:pt>
                      <c:pt idx="6">
                        <c:v>5.9882138681352357</c:v>
                      </c:pt>
                      <c:pt idx="7">
                        <c:v>5.8256269903506288</c:v>
                      </c:pt>
                      <c:pt idx="8">
                        <c:v>5.5808350046502779</c:v>
                      </c:pt>
                      <c:pt idx="9">
                        <c:v>5.4262649538315957</c:v>
                      </c:pt>
                      <c:pt idx="10">
                        <c:v>5.2424442385572858</c:v>
                      </c:pt>
                      <c:pt idx="11">
                        <c:v>5.0744356998913211</c:v>
                      </c:pt>
                      <c:pt idx="12">
                        <c:v>4.9430127517914171</c:v>
                      </c:pt>
                      <c:pt idx="13">
                        <c:v>4.9430127517914171</c:v>
                      </c:pt>
                      <c:pt idx="14">
                        <c:v>4.9430127517914171</c:v>
                      </c:pt>
                      <c:pt idx="15">
                        <c:v>4.9430127517914171</c:v>
                      </c:pt>
                      <c:pt idx="16">
                        <c:v>4.9430127517914171</c:v>
                      </c:pt>
                      <c:pt idx="17">
                        <c:v>4.9430127517914171</c:v>
                      </c:pt>
                      <c:pt idx="18">
                        <c:v>4.9430127517914171</c:v>
                      </c:pt>
                      <c:pt idx="19">
                        <c:v>4.9430127517914171</c:v>
                      </c:pt>
                      <c:pt idx="20">
                        <c:v>4.9430127517914171</c:v>
                      </c:pt>
                      <c:pt idx="21">
                        <c:v>4.9430127517914171</c:v>
                      </c:pt>
                      <c:pt idx="22">
                        <c:v>4.9430127517914171</c:v>
                      </c:pt>
                      <c:pt idx="23">
                        <c:v>4.9430127517914171</c:v>
                      </c:pt>
                      <c:pt idx="24">
                        <c:v>4.9430127517914171</c:v>
                      </c:pt>
                      <c:pt idx="25">
                        <c:v>4.9430127517914171</c:v>
                      </c:pt>
                      <c:pt idx="26">
                        <c:v>4.9430127517914171</c:v>
                      </c:pt>
                      <c:pt idx="27">
                        <c:v>4.9430127517914171</c:v>
                      </c:pt>
                      <c:pt idx="28">
                        <c:v>4.9430127517914171</c:v>
                      </c:pt>
                      <c:pt idx="29">
                        <c:v>4.9430127517914171</c:v>
                      </c:pt>
                      <c:pt idx="30">
                        <c:v>4.9430127517914171</c:v>
                      </c:pt>
                      <c:pt idx="31">
                        <c:v>4.9430127517914171</c:v>
                      </c:pt>
                      <c:pt idx="32">
                        <c:v>4.9430127517914171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55C0-4163-BF5A-17D7E7C2B040}"/>
                  </c:ext>
                </c:extLst>
              </c15:ser>
            </c15:filteredScatterSeries>
            <c15:filteredScatte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GasesSummary!$AT$15:$AT$47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0.6372410435226008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5C0-4163-BF5A-17D7E7C2B040}"/>
                  </c:ext>
                </c:extLst>
              </c15:ser>
            </c15:filteredScatterSeries>
            <c15:filteredScatter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GasesSummary!$AU$15:$AU$47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0.26722783017133478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55C0-4163-BF5A-17D7E7C2B040}"/>
                  </c:ext>
                </c:extLst>
              </c15:ser>
            </c15:filteredScatterSeries>
            <c15:filteredScatte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GasesSummary!$AV$14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GasesSummary!$AV$15:$AV$47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13">
                        <c:v>-0.24715063758957084</c:v>
                      </c:pt>
                      <c:pt idx="14">
                        <c:v>-0.49430127517914169</c:v>
                      </c:pt>
                      <c:pt idx="15">
                        <c:v>-0.74145191276871247</c:v>
                      </c:pt>
                      <c:pt idx="16">
                        <c:v>-0.98860255035828337</c:v>
                      </c:pt>
                      <c:pt idx="17">
                        <c:v>-1.2357531879478543</c:v>
                      </c:pt>
                      <c:pt idx="18">
                        <c:v>-1.4829038255374252</c:v>
                      </c:pt>
                      <c:pt idx="19">
                        <c:v>-1.7300544631269961</c:v>
                      </c:pt>
                      <c:pt idx="20">
                        <c:v>-1.977205100716567</c:v>
                      </c:pt>
                      <c:pt idx="21">
                        <c:v>-2.2243557383061376</c:v>
                      </c:pt>
                      <c:pt idx="22">
                        <c:v>-2.4715063758957085</c:v>
                      </c:pt>
                      <c:pt idx="23">
                        <c:v>-2.7186570134852794</c:v>
                      </c:pt>
                      <c:pt idx="24">
                        <c:v>-2.9658076510748503</c:v>
                      </c:pt>
                      <c:pt idx="25">
                        <c:v>-3.2129582886644212</c:v>
                      </c:pt>
                      <c:pt idx="26">
                        <c:v>-3.4601089262539921</c:v>
                      </c:pt>
                      <c:pt idx="27">
                        <c:v>-3.707259563843563</c:v>
                      </c:pt>
                      <c:pt idx="28">
                        <c:v>-3.9544102014331339</c:v>
                      </c:pt>
                      <c:pt idx="29">
                        <c:v>-4.2015608390227044</c:v>
                      </c:pt>
                      <c:pt idx="30">
                        <c:v>-4.4487114766122753</c:v>
                      </c:pt>
                      <c:pt idx="31">
                        <c:v>-4.6958621142018462</c:v>
                      </c:pt>
                      <c:pt idx="32">
                        <c:v>-4.9430127517914171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55C0-4163-BF5A-17D7E7C2B040}"/>
                  </c:ext>
                </c:extLst>
              </c15:ser>
            </c15:filteredScatterSeries>
            <c15:filteredScatter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GasesSummary!$AW$14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GasesSummary!$AW$15:$AW$47</c15:sqref>
                        </c15:formulaRef>
                      </c:ext>
                    </c:extLst>
                    <c:numCache>
                      <c:formatCode>0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55C0-4163-BF5A-17D7E7C2B040}"/>
                  </c:ext>
                </c:extLst>
              </c15:ser>
            </c15:filteredScatterSeries>
            <c15:filteredScatterSeries>
              <c15:ser>
                <c:idx val="40"/>
                <c:order val="4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GasesSummary!$AX$14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GasesSummary!$AX$15:$AX$47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44.05311996590261</c:v>
                      </c:pt>
                      <c:pt idx="1">
                        <c:v>41.81151164486662</c:v>
                      </c:pt>
                      <c:pt idx="2">
                        <c:v>41.81151164486662</c:v>
                      </c:pt>
                      <c:pt idx="3">
                        <c:v>41.81151164486662</c:v>
                      </c:pt>
                      <c:pt idx="4">
                        <c:v>38.683173372040308</c:v>
                      </c:pt>
                      <c:pt idx="5">
                        <c:v>35.554835099213996</c:v>
                      </c:pt>
                      <c:pt idx="6">
                        <c:v>32.426496826387684</c:v>
                      </c:pt>
                      <c:pt idx="7">
                        <c:v>29.298158553561372</c:v>
                      </c:pt>
                      <c:pt idx="8">
                        <c:v>26.16982028073506</c:v>
                      </c:pt>
                      <c:pt idx="9">
                        <c:v>23.041482007908748</c:v>
                      </c:pt>
                      <c:pt idx="10">
                        <c:v>19.913143735082436</c:v>
                      </c:pt>
                      <c:pt idx="11">
                        <c:v>16.784805462256124</c:v>
                      </c:pt>
                      <c:pt idx="12">
                        <c:v>13.656467189429812</c:v>
                      </c:pt>
                      <c:pt idx="13">
                        <c:v>12.973643829958322</c:v>
                      </c:pt>
                      <c:pt idx="14">
                        <c:v>12.290820470486832</c:v>
                      </c:pt>
                      <c:pt idx="15">
                        <c:v>11.607997111015342</c:v>
                      </c:pt>
                      <c:pt idx="16">
                        <c:v>10.925173751543852</c:v>
                      </c:pt>
                      <c:pt idx="17">
                        <c:v>10.242350392072362</c:v>
                      </c:pt>
                      <c:pt idx="18">
                        <c:v>9.5595270326008723</c:v>
                      </c:pt>
                      <c:pt idx="19">
                        <c:v>8.8767036731293825</c:v>
                      </c:pt>
                      <c:pt idx="20">
                        <c:v>8.1938803136578926</c:v>
                      </c:pt>
                      <c:pt idx="21">
                        <c:v>7.5110569541864018</c:v>
                      </c:pt>
                      <c:pt idx="22">
                        <c:v>6.8282335947149111</c:v>
                      </c:pt>
                      <c:pt idx="23">
                        <c:v>6.1454102352434203</c:v>
                      </c:pt>
                      <c:pt idx="24">
                        <c:v>5.4625868757719296</c:v>
                      </c:pt>
                      <c:pt idx="25">
                        <c:v>4.7797635163004388</c:v>
                      </c:pt>
                      <c:pt idx="26">
                        <c:v>4.0969401568289481</c:v>
                      </c:pt>
                      <c:pt idx="27">
                        <c:v>3.4141167973574573</c:v>
                      </c:pt>
                      <c:pt idx="28">
                        <c:v>2.7312934378859666</c:v>
                      </c:pt>
                      <c:pt idx="29">
                        <c:v>2.0484700784144758</c:v>
                      </c:pt>
                      <c:pt idx="30">
                        <c:v>1.3656467189429853</c:v>
                      </c:pt>
                      <c:pt idx="31">
                        <c:v>0.68282335947149475</c:v>
                      </c:pt>
                      <c:pt idx="32">
                        <c:v>4.2188474935755949E-15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55C0-4163-BF5A-17D7E7C2B040}"/>
                  </c:ext>
                </c:extLst>
              </c15:ser>
            </c15:filteredScatterSeries>
            <c15:filteredScatter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GasesSummary!$AY$14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GasesSummary!$AY$15:$AY$47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0.62362502085979499</c:v>
                      </c:pt>
                      <c:pt idx="1">
                        <c:v>0.60727248931136102</c:v>
                      </c:pt>
                      <c:pt idx="2">
                        <c:v>0.60563517202162709</c:v>
                      </c:pt>
                      <c:pt idx="3">
                        <c:v>0.60698426400733474</c:v>
                      </c:pt>
                      <c:pt idx="4">
                        <c:v>0.59576548747047564</c:v>
                      </c:pt>
                      <c:pt idx="5">
                        <c:v>0.59050330463999468</c:v>
                      </c:pt>
                      <c:pt idx="6">
                        <c:v>0.57470801978190822</c:v>
                      </c:pt>
                      <c:pt idx="7">
                        <c:v>0.56326176281703599</c:v>
                      </c:pt>
                      <c:pt idx="8">
                        <c:v>0.54752425580502107</c:v>
                      </c:pt>
                      <c:pt idx="9">
                        <c:v>0.53649649119382015</c:v>
                      </c:pt>
                      <c:pt idx="10">
                        <c:v>0.5239417908677142</c:v>
                      </c:pt>
                      <c:pt idx="11">
                        <c:v>0.51221251374627752</c:v>
                      </c:pt>
                      <c:pt idx="12">
                        <c:v>0.50239306827912533</c:v>
                      </c:pt>
                      <c:pt idx="13">
                        <c:v>0.50239306827912533</c:v>
                      </c:pt>
                      <c:pt idx="14">
                        <c:v>0.50239306827912533</c:v>
                      </c:pt>
                      <c:pt idx="15">
                        <c:v>0.50239306827912533</c:v>
                      </c:pt>
                      <c:pt idx="16">
                        <c:v>0.50239306827912533</c:v>
                      </c:pt>
                      <c:pt idx="17">
                        <c:v>0.50239306827912533</c:v>
                      </c:pt>
                      <c:pt idx="18">
                        <c:v>0.50239306827912533</c:v>
                      </c:pt>
                      <c:pt idx="19">
                        <c:v>0.50239306827912533</c:v>
                      </c:pt>
                      <c:pt idx="20">
                        <c:v>0.50239306827912533</c:v>
                      </c:pt>
                      <c:pt idx="21">
                        <c:v>0.50239306827912533</c:v>
                      </c:pt>
                      <c:pt idx="22">
                        <c:v>0.50239306827912533</c:v>
                      </c:pt>
                      <c:pt idx="23">
                        <c:v>0.50239306827912533</c:v>
                      </c:pt>
                      <c:pt idx="24">
                        <c:v>0.50239306827912533</c:v>
                      </c:pt>
                      <c:pt idx="25">
                        <c:v>0.50239306827912533</c:v>
                      </c:pt>
                      <c:pt idx="26">
                        <c:v>0.50239306827912533</c:v>
                      </c:pt>
                      <c:pt idx="27">
                        <c:v>0.50239306827912533</c:v>
                      </c:pt>
                      <c:pt idx="28">
                        <c:v>0.50239306827912533</c:v>
                      </c:pt>
                      <c:pt idx="29">
                        <c:v>0.50239306827912533</c:v>
                      </c:pt>
                      <c:pt idx="30">
                        <c:v>0.50239306827912533</c:v>
                      </c:pt>
                      <c:pt idx="31">
                        <c:v>0.50239306827912533</c:v>
                      </c:pt>
                      <c:pt idx="32">
                        <c:v>0.50239306827912533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55C0-4163-BF5A-17D7E7C2B040}"/>
                  </c:ext>
                </c:extLst>
              </c15:ser>
            </c15:filteredScatterSeries>
            <c15:filteredScatterSeries>
              <c15:ser>
                <c:idx val="42"/>
                <c:order val="4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GasesSummary!$AZ$15:$AZ$47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2.5646912762990196E-2</c:v>
                      </c:pt>
                      <c:pt idx="1">
                        <c:v>2.4309378074883786E-2</c:v>
                      </c:pt>
                      <c:pt idx="2">
                        <c:v>2.4191018892461238E-2</c:v>
                      </c:pt>
                      <c:pt idx="3">
                        <c:v>2.4288542705006529E-2</c:v>
                      </c:pt>
                      <c:pt idx="4">
                        <c:v>2.3894301464913198E-2</c:v>
                      </c:pt>
                      <c:pt idx="5">
                        <c:v>2.3930653345365708E-2</c:v>
                      </c:pt>
                      <c:pt idx="6">
                        <c:v>2.3205583263088417E-2</c:v>
                      </c:pt>
                      <c:pt idx="7">
                        <c:v>2.2794897808031025E-2</c:v>
                      </c:pt>
                      <c:pt idx="8">
                        <c:v>2.2074004398574602E-2</c:v>
                      </c:pt>
                      <c:pt idx="9">
                        <c:v>2.1693571120747115E-2</c:v>
                      </c:pt>
                      <c:pt idx="10">
                        <c:v>2.1202757977049336E-2</c:v>
                      </c:pt>
                      <c:pt idx="11">
                        <c:v>2.0771613424326443E-2</c:v>
                      </c:pt>
                      <c:pt idx="12">
                        <c:v>2.0478527703928308E-2</c:v>
                      </c:pt>
                      <c:pt idx="13">
                        <c:v>2.0478527703928308E-2</c:v>
                      </c:pt>
                      <c:pt idx="14">
                        <c:v>2.0478527703928308E-2</c:v>
                      </c:pt>
                      <c:pt idx="15">
                        <c:v>2.0478527703928308E-2</c:v>
                      </c:pt>
                      <c:pt idx="16">
                        <c:v>2.0478527703928308E-2</c:v>
                      </c:pt>
                      <c:pt idx="17">
                        <c:v>2.0478527703928308E-2</c:v>
                      </c:pt>
                      <c:pt idx="18">
                        <c:v>2.0478527703928308E-2</c:v>
                      </c:pt>
                      <c:pt idx="19">
                        <c:v>2.0478527703928308E-2</c:v>
                      </c:pt>
                      <c:pt idx="20">
                        <c:v>2.0478527703928308E-2</c:v>
                      </c:pt>
                      <c:pt idx="21">
                        <c:v>2.0478527703928308E-2</c:v>
                      </c:pt>
                      <c:pt idx="22">
                        <c:v>2.0478527703928308E-2</c:v>
                      </c:pt>
                      <c:pt idx="23">
                        <c:v>2.0478527703928308E-2</c:v>
                      </c:pt>
                      <c:pt idx="24">
                        <c:v>2.0478527703928308E-2</c:v>
                      </c:pt>
                      <c:pt idx="25">
                        <c:v>2.0478527703928308E-2</c:v>
                      </c:pt>
                      <c:pt idx="26">
                        <c:v>2.0478527703928308E-2</c:v>
                      </c:pt>
                      <c:pt idx="27">
                        <c:v>2.0478527703928308E-2</c:v>
                      </c:pt>
                      <c:pt idx="28">
                        <c:v>2.0478527703928308E-2</c:v>
                      </c:pt>
                      <c:pt idx="29">
                        <c:v>2.0478527703928308E-2</c:v>
                      </c:pt>
                      <c:pt idx="30">
                        <c:v>2.0478527703928308E-2</c:v>
                      </c:pt>
                      <c:pt idx="31">
                        <c:v>2.0478527703928308E-2</c:v>
                      </c:pt>
                      <c:pt idx="32">
                        <c:v>2.0478527703928308E-2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55C0-4163-BF5A-17D7E7C2B040}"/>
                  </c:ext>
                </c:extLst>
              </c15:ser>
            </c15:filteredScatterSeries>
            <c15:filteredScatterSeries>
              <c15:ser>
                <c:idx val="43"/>
                <c:order val="4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GasesSummary!$BA$14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GasesSummary!$BA$15:$BA$47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17.461500584074258</c:v>
                      </c:pt>
                      <c:pt idx="1">
                        <c:v>17.003629700718108</c:v>
                      </c:pt>
                      <c:pt idx="2">
                        <c:v>16.95778481660556</c:v>
                      </c:pt>
                      <c:pt idx="3">
                        <c:v>16.995559392205372</c:v>
                      </c:pt>
                      <c:pt idx="4">
                        <c:v>16.681433649173318</c:v>
                      </c:pt>
                      <c:pt idx="5">
                        <c:v>16.53409252991985</c:v>
                      </c:pt>
                      <c:pt idx="6">
                        <c:v>16.091824553893431</c:v>
                      </c:pt>
                      <c:pt idx="7">
                        <c:v>15.771329358877008</c:v>
                      </c:pt>
                      <c:pt idx="8">
                        <c:v>15.330679162540591</c:v>
                      </c:pt>
                      <c:pt idx="9">
                        <c:v>15.021901753426963</c:v>
                      </c:pt>
                      <c:pt idx="10">
                        <c:v>14.670370144295998</c:v>
                      </c:pt>
                      <c:pt idx="11">
                        <c:v>14.341950384895771</c:v>
                      </c:pt>
                      <c:pt idx="12">
                        <c:v>14.06700591181551</c:v>
                      </c:pt>
                      <c:pt idx="13">
                        <c:v>14.06700591181551</c:v>
                      </c:pt>
                      <c:pt idx="14">
                        <c:v>14.06700591181551</c:v>
                      </c:pt>
                      <c:pt idx="15">
                        <c:v>14.06700591181551</c:v>
                      </c:pt>
                      <c:pt idx="16">
                        <c:v>14.06700591181551</c:v>
                      </c:pt>
                      <c:pt idx="17">
                        <c:v>14.06700591181551</c:v>
                      </c:pt>
                      <c:pt idx="18">
                        <c:v>14.06700591181551</c:v>
                      </c:pt>
                      <c:pt idx="19">
                        <c:v>14.06700591181551</c:v>
                      </c:pt>
                      <c:pt idx="20">
                        <c:v>14.06700591181551</c:v>
                      </c:pt>
                      <c:pt idx="21">
                        <c:v>14.06700591181551</c:v>
                      </c:pt>
                      <c:pt idx="22">
                        <c:v>14.06700591181551</c:v>
                      </c:pt>
                      <c:pt idx="23">
                        <c:v>14.06700591181551</c:v>
                      </c:pt>
                      <c:pt idx="24">
                        <c:v>14.06700591181551</c:v>
                      </c:pt>
                      <c:pt idx="25">
                        <c:v>14.06700591181551</c:v>
                      </c:pt>
                      <c:pt idx="26">
                        <c:v>14.06700591181551</c:v>
                      </c:pt>
                      <c:pt idx="27">
                        <c:v>14.06700591181551</c:v>
                      </c:pt>
                      <c:pt idx="28">
                        <c:v>14.06700591181551</c:v>
                      </c:pt>
                      <c:pt idx="29">
                        <c:v>14.06700591181551</c:v>
                      </c:pt>
                      <c:pt idx="30">
                        <c:v>14.06700591181551</c:v>
                      </c:pt>
                      <c:pt idx="31">
                        <c:v>14.06700591181551</c:v>
                      </c:pt>
                      <c:pt idx="32">
                        <c:v>14.06700591181551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55C0-4163-BF5A-17D7E7C2B040}"/>
                  </c:ext>
                </c:extLst>
              </c15:ser>
            </c15:filteredScatterSeries>
            <c15:filteredScatterSeries>
              <c15:ser>
                <c:idx val="44"/>
                <c:order val="4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GasesSummary!$BB$14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GasesSummary!$BB$15:$BB$47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6.7964318821924019</c:v>
                      </c:pt>
                      <c:pt idx="1">
                        <c:v>6.4419851898442033</c:v>
                      </c:pt>
                      <c:pt idx="2">
                        <c:v>6.4106200065022279</c:v>
                      </c:pt>
                      <c:pt idx="3">
                        <c:v>6.4364638168267305</c:v>
                      </c:pt>
                      <c:pt idx="4">
                        <c:v>6.3319898882019974</c:v>
                      </c:pt>
                      <c:pt idx="5">
                        <c:v>6.3416231365219122</c:v>
                      </c:pt>
                      <c:pt idx="6">
                        <c:v>6.1494795647184306</c:v>
                      </c:pt>
                      <c:pt idx="7">
                        <c:v>6.0406479191282214</c:v>
                      </c:pt>
                      <c:pt idx="8">
                        <c:v>5.8496111656222691</c:v>
                      </c:pt>
                      <c:pt idx="9">
                        <c:v>5.7487963469979855</c:v>
                      </c:pt>
                      <c:pt idx="10">
                        <c:v>5.6187308639180742</c:v>
                      </c:pt>
                      <c:pt idx="11">
                        <c:v>5.5044775574465072</c:v>
                      </c:pt>
                      <c:pt idx="12">
                        <c:v>5.4268098415410018</c:v>
                      </c:pt>
                      <c:pt idx="13">
                        <c:v>5.4268098415410018</c:v>
                      </c:pt>
                      <c:pt idx="14">
                        <c:v>5.4268098415410018</c:v>
                      </c:pt>
                      <c:pt idx="15">
                        <c:v>5.4268098415410018</c:v>
                      </c:pt>
                      <c:pt idx="16">
                        <c:v>5.4268098415410018</c:v>
                      </c:pt>
                      <c:pt idx="17">
                        <c:v>5.4268098415410018</c:v>
                      </c:pt>
                      <c:pt idx="18">
                        <c:v>5.4268098415410018</c:v>
                      </c:pt>
                      <c:pt idx="19">
                        <c:v>5.4268098415410018</c:v>
                      </c:pt>
                      <c:pt idx="20">
                        <c:v>5.4268098415410018</c:v>
                      </c:pt>
                      <c:pt idx="21">
                        <c:v>5.4268098415410018</c:v>
                      </c:pt>
                      <c:pt idx="22">
                        <c:v>5.4268098415410018</c:v>
                      </c:pt>
                      <c:pt idx="23">
                        <c:v>5.4268098415410018</c:v>
                      </c:pt>
                      <c:pt idx="24">
                        <c:v>5.4268098415410018</c:v>
                      </c:pt>
                      <c:pt idx="25">
                        <c:v>5.4268098415410018</c:v>
                      </c:pt>
                      <c:pt idx="26">
                        <c:v>5.4268098415410018</c:v>
                      </c:pt>
                      <c:pt idx="27">
                        <c:v>5.4268098415410018</c:v>
                      </c:pt>
                      <c:pt idx="28">
                        <c:v>5.4268098415410018</c:v>
                      </c:pt>
                      <c:pt idx="29">
                        <c:v>5.4268098415410018</c:v>
                      </c:pt>
                      <c:pt idx="30">
                        <c:v>5.4268098415410018</c:v>
                      </c:pt>
                      <c:pt idx="31">
                        <c:v>5.4268098415410018</c:v>
                      </c:pt>
                      <c:pt idx="32">
                        <c:v>5.4268098415410018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55C0-4163-BF5A-17D7E7C2B040}"/>
                  </c:ext>
                </c:extLst>
              </c15:ser>
            </c15:filteredScatterSeries>
            <c15:filteredScatterSeries>
              <c15:ser>
                <c:idx val="46"/>
                <c:order val="4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GasesSummary!$BD$15:$BD$47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0.69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55C0-4163-BF5A-17D7E7C2B040}"/>
                  </c:ext>
                </c:extLst>
              </c15:ser>
            </c15:filteredScatterSeries>
            <c15:filteredScatterSeries>
              <c15:ser>
                <c:idx val="47"/>
                <c:order val="4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GasesSummary!$BE$15:$BE$47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12" formatCode="0%">
                        <c:v>0.19439879498985868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55C0-4163-BF5A-17D7E7C2B040}"/>
                  </c:ext>
                </c:extLst>
              </c15:ser>
            </c15:filteredScatterSeries>
            <c15:filteredScatterSeries>
              <c15:ser>
                <c:idx val="48"/>
                <c:order val="4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GasesSummary!$BF$14</c15:sqref>
                        </c15:formulaRef>
                      </c:ext>
                    </c:extLst>
                    <c:strCache>
                      <c:ptCount val="1"/>
                      <c:pt idx="0">
                        <c:v>Removals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GasesSummary!$BF$15:$BF$47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13">
                        <c:v>-0.27134049207705008</c:v>
                      </c:pt>
                      <c:pt idx="14">
                        <c:v>-0.54268098415410015</c:v>
                      </c:pt>
                      <c:pt idx="15">
                        <c:v>-0.81402147623115018</c:v>
                      </c:pt>
                      <c:pt idx="16">
                        <c:v>-1.0853619683082003</c:v>
                      </c:pt>
                      <c:pt idx="17">
                        <c:v>-1.3567024603852504</c:v>
                      </c:pt>
                      <c:pt idx="18">
                        <c:v>-1.6280429524623006</c:v>
                      </c:pt>
                      <c:pt idx="19">
                        <c:v>-1.8993834445393507</c:v>
                      </c:pt>
                      <c:pt idx="20">
                        <c:v>-2.1707239366164006</c:v>
                      </c:pt>
                      <c:pt idx="21">
                        <c:v>-2.4420644286934508</c:v>
                      </c:pt>
                      <c:pt idx="22">
                        <c:v>-2.7134049207705009</c:v>
                      </c:pt>
                      <c:pt idx="23">
                        <c:v>-2.984745412847551</c:v>
                      </c:pt>
                      <c:pt idx="24">
                        <c:v>-3.2560859049246011</c:v>
                      </c:pt>
                      <c:pt idx="25">
                        <c:v>-3.5274263970016513</c:v>
                      </c:pt>
                      <c:pt idx="26">
                        <c:v>-3.7987668890787014</c:v>
                      </c:pt>
                      <c:pt idx="27">
                        <c:v>-4.0701073811557515</c:v>
                      </c:pt>
                      <c:pt idx="28">
                        <c:v>-4.3414478732328012</c:v>
                      </c:pt>
                      <c:pt idx="29">
                        <c:v>-4.6127883653098509</c:v>
                      </c:pt>
                      <c:pt idx="30">
                        <c:v>-4.8841288573869006</c:v>
                      </c:pt>
                      <c:pt idx="31">
                        <c:v>-5.1554693494639503</c:v>
                      </c:pt>
                      <c:pt idx="32">
                        <c:v>-5.426809841541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55C0-4163-BF5A-17D7E7C2B040}"/>
                  </c:ext>
                </c:extLst>
              </c15:ser>
            </c15:filteredScatterSeries>
            <c15:filteredScatterSeries>
              <c15:ser>
                <c:idx val="49"/>
                <c:order val="4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GasesSummary!$BG$15:$BG$47</c15:sqref>
                        </c15:formulaRef>
                      </c:ext>
                    </c:extLst>
                    <c:numCache>
                      <c:formatCode>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55C0-4163-BF5A-17D7E7C2B040}"/>
                  </c:ext>
                </c:extLst>
              </c15:ser>
            </c15:filteredScatterSeries>
            <c15:filteredScatterSeries>
              <c15:ser>
                <c:idx val="50"/>
                <c:order val="5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GasesSummary!$BH$14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GasesSummary!$BH$15:$BH$47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55C0-4163-BF5A-17D7E7C2B040}"/>
                  </c:ext>
                </c:extLst>
              </c15:ser>
            </c15:filteredScatterSeries>
            <c15:filteredScatterSeries>
              <c15:ser>
                <c:idx val="51"/>
                <c:order val="5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GasesSummary!$BI$15:$BI$47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55C0-4163-BF5A-17D7E7C2B040}"/>
                  </c:ext>
                </c:extLst>
              </c15:ser>
            </c15:filteredScatterSeries>
            <c15:filteredScatterSeries>
              <c15:ser>
                <c:idx val="52"/>
                <c:order val="5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GasesSummary!$BJ$15:$BJ$47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55C0-4163-BF5A-17D7E7C2B040}"/>
                  </c:ext>
                </c:extLst>
              </c15:ser>
            </c15:filteredScatterSeries>
            <c15:filteredScatterSeries>
              <c15:ser>
                <c:idx val="53"/>
                <c:order val="5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GasesSummary!$BK$15:$BK$47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55C0-4163-BF5A-17D7E7C2B040}"/>
                  </c:ext>
                </c:extLst>
              </c15:ser>
            </c15:filteredScatterSeries>
            <c15:filteredScatterSeries>
              <c15:ser>
                <c:idx val="54"/>
                <c:order val="5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GasesSummary!$BL$14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GasesSummary!$BL$15:$BL$47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55C0-4163-BF5A-17D7E7C2B040}"/>
                  </c:ext>
                </c:extLst>
              </c15:ser>
            </c15:filteredScatterSeries>
            <c15:filteredScatterSeries>
              <c15:ser>
                <c:idx val="55"/>
                <c:order val="5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GasesSummary!$BM$15:$BM$47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55C0-4163-BF5A-17D7E7C2B040}"/>
                  </c:ext>
                </c:extLst>
              </c15:ser>
            </c15:filteredScatterSeries>
            <c15:filteredScatterSeries>
              <c15:ser>
                <c:idx val="56"/>
                <c:order val="5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GasesSummary!$BN$15:$BN$47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55C0-4163-BF5A-17D7E7C2B040}"/>
                  </c:ext>
                </c:extLst>
              </c15:ser>
            </c15:filteredScatterSeries>
            <c15:filteredScatterSeries>
              <c15:ser>
                <c:idx val="57"/>
                <c:order val="5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GasesSummary!$BO$15:$BO$47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A-55C0-4163-BF5A-17D7E7C2B040}"/>
                  </c:ext>
                </c:extLst>
              </c15:ser>
            </c15:filteredScatterSeries>
            <c15:filteredScatterSeries>
              <c15:ser>
                <c:idx val="58"/>
                <c:order val="5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GasesSummary!$BP$14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GasesSummary!$BP$15:$BP$47</c15:sqref>
                        </c15:formulaRef>
                      </c:ext>
                    </c:extLst>
                    <c:numCache>
                      <c:formatCode>General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55C0-4163-BF5A-17D7E7C2B040}"/>
                  </c:ext>
                </c:extLst>
              </c15:ser>
            </c15:filteredScatterSeries>
            <c15:filteredScatterSeries>
              <c15:ser>
                <c:idx val="59"/>
                <c:order val="5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GasesSummary!$BQ$14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GasesSummary!$BQ$15:$BQ$47</c15:sqref>
                        </c15:formulaRef>
                      </c:ext>
                    </c:extLst>
                    <c:numCache>
                      <c:formatCode>0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C-55C0-4163-BF5A-17D7E7C2B040}"/>
                  </c:ext>
                </c:extLst>
              </c15:ser>
            </c15:filteredScatterSeries>
            <c15:filteredScatterSeries>
              <c15:ser>
                <c:idx val="60"/>
                <c:order val="6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GasesSummary!$BR$14</c15:sqref>
                        </c15:formulaRef>
                      </c:ext>
                    </c:extLst>
                    <c:strCache>
                      <c:ptCount val="1"/>
                      <c:pt idx="0">
                        <c:v>CO2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GasesSummary!$BR$15:$BR$47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44.05311996590261</c:v>
                      </c:pt>
                      <c:pt idx="1">
                        <c:v>42.551403836920038</c:v>
                      </c:pt>
                      <c:pt idx="2">
                        <c:v>39.6997120657254</c:v>
                      </c:pt>
                      <c:pt idx="3">
                        <c:v>41.967334731719113</c:v>
                      </c:pt>
                      <c:pt idx="4">
                        <c:v>42.730746179162182</c:v>
                      </c:pt>
                      <c:pt idx="5">
                        <c:v>44.16374861720292</c:v>
                      </c:pt>
                      <c:pt idx="6">
                        <c:v>42.029979630872887</c:v>
                      </c:pt>
                      <c:pt idx="7">
                        <c:v>41.007666260575206</c:v>
                      </c:pt>
                      <c:pt idx="8">
                        <c:v>37.937121340515439</c:v>
                      </c:pt>
                      <c:pt idx="9">
                        <c:v>37.870878645431397</c:v>
                      </c:pt>
                      <c:pt idx="10">
                        <c:v>36.583778559859176</c:v>
                      </c:pt>
                      <c:pt idx="11">
                        <c:v>36.158157819520802</c:v>
                      </c:pt>
                      <c:pt idx="12">
                        <c:v>36.407173574748441</c:v>
                      </c:pt>
                      <c:pt idx="13">
                        <c:v>37.132582139754682</c:v>
                      </c:pt>
                      <c:pt idx="14">
                        <c:v>37.393101437334174</c:v>
                      </c:pt>
                      <c:pt idx="15">
                        <c:v>37.364200054290251</c:v>
                      </c:pt>
                      <c:pt idx="16">
                        <c:v>38.724742914179345</c:v>
                      </c:pt>
                      <c:pt idx="17">
                        <c:v>39.112067062213704</c:v>
                      </c:pt>
                      <c:pt idx="18">
                        <c:v>39.502816314188848</c:v>
                      </c:pt>
                      <c:pt idx="19">
                        <c:v>39.950200570806409</c:v>
                      </c:pt>
                      <c:pt idx="20">
                        <c:v>39.925010131859032</c:v>
                      </c:pt>
                      <c:pt idx="21">
                        <c:v>39.75863072429123</c:v>
                      </c:pt>
                      <c:pt idx="22">
                        <c:v>40.175462122721363</c:v>
                      </c:pt>
                      <c:pt idx="23">
                        <c:v>36.157915910449226</c:v>
                      </c:pt>
                      <c:pt idx="24">
                        <c:v>32.140369698177089</c:v>
                      </c:pt>
                      <c:pt idx="25">
                        <c:v>28.122823485904956</c:v>
                      </c:pt>
                      <c:pt idx="26">
                        <c:v>24.105277273632819</c:v>
                      </c:pt>
                      <c:pt idx="27">
                        <c:v>20.087731061360682</c:v>
                      </c:pt>
                      <c:pt idx="28">
                        <c:v>16.070184849088545</c:v>
                      </c:pt>
                      <c:pt idx="29">
                        <c:v>12.052638636816411</c:v>
                      </c:pt>
                      <c:pt idx="30">
                        <c:v>8.0350924245442741</c:v>
                      </c:pt>
                      <c:pt idx="31">
                        <c:v>4.0175462122721388</c:v>
                      </c:pt>
                      <c:pt idx="32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D-55C0-4163-BF5A-17D7E7C2B040}"/>
                  </c:ext>
                </c:extLst>
              </c15:ser>
            </c15:filteredScatterSeries>
            <c15:filteredScatterSeries>
              <c15:ser>
                <c:idx val="61"/>
                <c:order val="6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GasesSummary!$BS$14</c15:sqref>
                        </c15:formulaRef>
                      </c:ext>
                    </c:extLst>
                    <c:strCache>
                      <c:ptCount val="1"/>
                      <c:pt idx="0">
                        <c:v>CH4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GasesSummary!$BS$15:$BS$47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0.62398515281643696</c:v>
                      </c:pt>
                      <c:pt idx="1">
                        <c:v>0.58922091624152584</c:v>
                      </c:pt>
                      <c:pt idx="2">
                        <c:v>0.59473031271743648</c:v>
                      </c:pt>
                      <c:pt idx="3">
                        <c:v>0.58383889273555045</c:v>
                      </c:pt>
                      <c:pt idx="4">
                        <c:v>0.57804438643499789</c:v>
                      </c:pt>
                      <c:pt idx="5">
                        <c:v>0.57460283572353643</c:v>
                      </c:pt>
                      <c:pt idx="6">
                        <c:v>0.56856205420313466</c:v>
                      </c:pt>
                      <c:pt idx="7">
                        <c:v>0.56052726293969291</c:v>
                      </c:pt>
                      <c:pt idx="8">
                        <c:v>0.55036766728215014</c:v>
                      </c:pt>
                      <c:pt idx="9">
                        <c:v>0.54064817881673566</c:v>
                      </c:pt>
                      <c:pt idx="10">
                        <c:v>0.52961966802894</c:v>
                      </c:pt>
                      <c:pt idx="11">
                        <c:v>0.51835836578488603</c:v>
                      </c:pt>
                      <c:pt idx="12">
                        <c:v>0.50714823688842259</c:v>
                      </c:pt>
                      <c:pt idx="13">
                        <c:v>0.50844005447261675</c:v>
                      </c:pt>
                      <c:pt idx="14">
                        <c:v>0.5096238310852369</c:v>
                      </c:pt>
                      <c:pt idx="15">
                        <c:v>0.51094099386105918</c:v>
                      </c:pt>
                      <c:pt idx="16">
                        <c:v>0.51236918056843839</c:v>
                      </c:pt>
                      <c:pt idx="17">
                        <c:v>0.51388704784276373</c:v>
                      </c:pt>
                      <c:pt idx="18">
                        <c:v>0.51484044882840418</c:v>
                      </c:pt>
                      <c:pt idx="19">
                        <c:v>0.51598174847674161</c:v>
                      </c:pt>
                      <c:pt idx="20">
                        <c:v>0.51720791300392288</c:v>
                      </c:pt>
                      <c:pt idx="21">
                        <c:v>0.51831832116019383</c:v>
                      </c:pt>
                      <c:pt idx="22">
                        <c:v>0.5195613861832552</c:v>
                      </c:pt>
                      <c:pt idx="23">
                        <c:v>0.5195613861832552</c:v>
                      </c:pt>
                      <c:pt idx="24">
                        <c:v>0.5195613861832552</c:v>
                      </c:pt>
                      <c:pt idx="25">
                        <c:v>0.5195613861832552</c:v>
                      </c:pt>
                      <c:pt idx="26">
                        <c:v>0.5195613861832552</c:v>
                      </c:pt>
                      <c:pt idx="27">
                        <c:v>0.5195613861832552</c:v>
                      </c:pt>
                      <c:pt idx="28">
                        <c:v>0.5195613861832552</c:v>
                      </c:pt>
                      <c:pt idx="29">
                        <c:v>0.5195613861832552</c:v>
                      </c:pt>
                      <c:pt idx="30">
                        <c:v>0.5195613861832552</c:v>
                      </c:pt>
                      <c:pt idx="31">
                        <c:v>0.5195613861832552</c:v>
                      </c:pt>
                      <c:pt idx="32">
                        <c:v>0.5195613861832552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55C0-4163-BF5A-17D7E7C2B040}"/>
                  </c:ext>
                </c:extLst>
              </c15:ser>
            </c15:filteredScatterSeries>
            <c15:filteredScatterSeries>
              <c15:ser>
                <c:idx val="62"/>
                <c:order val="6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GasesSummary!$BT$14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GasesSummary!$BT$15:$BT$47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2.5702323908143719E-2</c:v>
                      </c:pt>
                      <c:pt idx="1">
                        <c:v>2.3004457248979732E-2</c:v>
                      </c:pt>
                      <c:pt idx="2">
                        <c:v>2.2983973024124787E-2</c:v>
                      </c:pt>
                      <c:pt idx="3">
                        <c:v>2.2585600488491758E-2</c:v>
                      </c:pt>
                      <c:pt idx="4">
                        <c:v>2.2263098238083701E-2</c:v>
                      </c:pt>
                      <c:pt idx="5">
                        <c:v>2.1964318484345276E-2</c:v>
                      </c:pt>
                      <c:pt idx="6">
                        <c:v>2.1549354148568324E-2</c:v>
                      </c:pt>
                      <c:pt idx="7">
                        <c:v>2.11495104961863E-2</c:v>
                      </c:pt>
                      <c:pt idx="8">
                        <c:v>2.0657539633650593E-2</c:v>
                      </c:pt>
                      <c:pt idx="9">
                        <c:v>2.0278428563695598E-2</c:v>
                      </c:pt>
                      <c:pt idx="10">
                        <c:v>1.9840267160055495E-2</c:v>
                      </c:pt>
                      <c:pt idx="11">
                        <c:v>1.9429517461533281E-2</c:v>
                      </c:pt>
                      <c:pt idx="12">
                        <c:v>1.9050040558681376E-2</c:v>
                      </c:pt>
                      <c:pt idx="13">
                        <c:v>1.9080954359167127E-2</c:v>
                      </c:pt>
                      <c:pt idx="14">
                        <c:v>1.9057902924445574E-2</c:v>
                      </c:pt>
                      <c:pt idx="15">
                        <c:v>1.9063571295598422E-2</c:v>
                      </c:pt>
                      <c:pt idx="16">
                        <c:v>1.9089487734951706E-2</c:v>
                      </c:pt>
                      <c:pt idx="17">
                        <c:v>1.913849913108135E-2</c:v>
                      </c:pt>
                      <c:pt idx="18">
                        <c:v>1.9124297380356606E-2</c:v>
                      </c:pt>
                      <c:pt idx="19">
                        <c:v>1.9141829848980128E-2</c:v>
                      </c:pt>
                      <c:pt idx="20">
                        <c:v>1.9174190364964139E-2</c:v>
                      </c:pt>
                      <c:pt idx="21">
                        <c:v>1.9153993935809816E-2</c:v>
                      </c:pt>
                      <c:pt idx="22">
                        <c:v>1.9163107394393294E-2</c:v>
                      </c:pt>
                      <c:pt idx="23">
                        <c:v>1.9163107394393294E-2</c:v>
                      </c:pt>
                      <c:pt idx="24">
                        <c:v>1.9163107394393294E-2</c:v>
                      </c:pt>
                      <c:pt idx="25">
                        <c:v>1.9163107394393294E-2</c:v>
                      </c:pt>
                      <c:pt idx="26">
                        <c:v>1.9163107394393294E-2</c:v>
                      </c:pt>
                      <c:pt idx="27">
                        <c:v>1.9163107394393294E-2</c:v>
                      </c:pt>
                      <c:pt idx="28">
                        <c:v>1.9163107394393294E-2</c:v>
                      </c:pt>
                      <c:pt idx="29">
                        <c:v>1.9163107394393294E-2</c:v>
                      </c:pt>
                      <c:pt idx="30">
                        <c:v>1.9163107394393294E-2</c:v>
                      </c:pt>
                      <c:pt idx="31">
                        <c:v>1.9163107394393294E-2</c:v>
                      </c:pt>
                      <c:pt idx="32">
                        <c:v>1.9163107394393294E-2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F-55C0-4163-BF5A-17D7E7C2B040}"/>
                  </c:ext>
                </c:extLst>
              </c15:ser>
            </c15:filteredScatterSeries>
            <c15:filteredScatterSeries>
              <c15:ser>
                <c:idx val="63"/>
                <c:order val="6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GasesSummary!$BU$14</c15:sqref>
                        </c15:formulaRef>
                      </c:ext>
                    </c:extLst>
                    <c:strCache>
                      <c:ptCount val="1"/>
                      <c:pt idx="0">
                        <c:v>GWP100 CH4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GasesSummary!$BU$15:$BU$47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17.471584278860234</c:v>
                      </c:pt>
                      <c:pt idx="1">
                        <c:v>16.498185654762722</c:v>
                      </c:pt>
                      <c:pt idx="2">
                        <c:v>16.652448756088223</c:v>
                      </c:pt>
                      <c:pt idx="3">
                        <c:v>16.347488996595413</c:v>
                      </c:pt>
                      <c:pt idx="4">
                        <c:v>16.185242820179941</c:v>
                      </c:pt>
                      <c:pt idx="5">
                        <c:v>16.088879400259021</c:v>
                      </c:pt>
                      <c:pt idx="6">
                        <c:v>15.919737517687771</c:v>
                      </c:pt>
                      <c:pt idx="7">
                        <c:v>15.694763362311402</c:v>
                      </c:pt>
                      <c:pt idx="8">
                        <c:v>15.410294683900204</c:v>
                      </c:pt>
                      <c:pt idx="9">
                        <c:v>15.138149006868598</c:v>
                      </c:pt>
                      <c:pt idx="10">
                        <c:v>14.82935070481032</c:v>
                      </c:pt>
                      <c:pt idx="11">
                        <c:v>14.514034241976809</c:v>
                      </c:pt>
                      <c:pt idx="12">
                        <c:v>14.200150632875832</c:v>
                      </c:pt>
                      <c:pt idx="13">
                        <c:v>14.236321525233269</c:v>
                      </c:pt>
                      <c:pt idx="14">
                        <c:v>14.269467270386633</c:v>
                      </c:pt>
                      <c:pt idx="15">
                        <c:v>14.306347828109658</c:v>
                      </c:pt>
                      <c:pt idx="16">
                        <c:v>14.346337055916274</c:v>
                      </c:pt>
                      <c:pt idx="17">
                        <c:v>14.388837339597384</c:v>
                      </c:pt>
                      <c:pt idx="18">
                        <c:v>14.415532567195317</c:v>
                      </c:pt>
                      <c:pt idx="19">
                        <c:v>14.447488957348765</c:v>
                      </c:pt>
                      <c:pt idx="20">
                        <c:v>14.48182156410984</c:v>
                      </c:pt>
                      <c:pt idx="21">
                        <c:v>14.512912992485427</c:v>
                      </c:pt>
                      <c:pt idx="22">
                        <c:v>14.547718813131146</c:v>
                      </c:pt>
                      <c:pt idx="23">
                        <c:v>14.547718813131146</c:v>
                      </c:pt>
                      <c:pt idx="24">
                        <c:v>14.547718813131146</c:v>
                      </c:pt>
                      <c:pt idx="25">
                        <c:v>14.547718813131146</c:v>
                      </c:pt>
                      <c:pt idx="26">
                        <c:v>14.547718813131146</c:v>
                      </c:pt>
                      <c:pt idx="27">
                        <c:v>14.547718813131146</c:v>
                      </c:pt>
                      <c:pt idx="28">
                        <c:v>14.547718813131146</c:v>
                      </c:pt>
                      <c:pt idx="29">
                        <c:v>14.547718813131146</c:v>
                      </c:pt>
                      <c:pt idx="30">
                        <c:v>14.547718813131146</c:v>
                      </c:pt>
                      <c:pt idx="31">
                        <c:v>14.547718813131146</c:v>
                      </c:pt>
                      <c:pt idx="32">
                        <c:v>14.547718813131146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55C0-4163-BF5A-17D7E7C2B040}"/>
                  </c:ext>
                </c:extLst>
              </c15:ser>
            </c15:filteredScatterSeries>
            <c15:filteredScatterSeries>
              <c15:ser>
                <c:idx val="64"/>
                <c:order val="6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GasesSummary!$BV$14</c15:sqref>
                        </c15:formulaRef>
                      </c:ext>
                    </c:extLst>
                    <c:strCache>
                      <c:ptCount val="1"/>
                      <c:pt idx="0">
                        <c:v>N2O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GasesSummary!$BV$15:$BV$47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6.8111158356580859</c:v>
                      </c:pt>
                      <c:pt idx="1">
                        <c:v>6.0961811709796292</c:v>
                      </c:pt>
                      <c:pt idx="2">
                        <c:v>6.0907528513930682</c:v>
                      </c:pt>
                      <c:pt idx="3">
                        <c:v>5.9851841294503156</c:v>
                      </c:pt>
                      <c:pt idx="4">
                        <c:v>5.899721033092181</c:v>
                      </c:pt>
                      <c:pt idx="5">
                        <c:v>5.8205443983514984</c:v>
                      </c:pt>
                      <c:pt idx="6">
                        <c:v>5.7105788493706058</c:v>
                      </c:pt>
                      <c:pt idx="7">
                        <c:v>5.6046202814893693</c:v>
                      </c:pt>
                      <c:pt idx="8">
                        <c:v>5.474248002917407</c:v>
                      </c:pt>
                      <c:pt idx="9">
                        <c:v>5.3737835693793334</c:v>
                      </c:pt>
                      <c:pt idx="10">
                        <c:v>5.2576707974147059</c:v>
                      </c:pt>
                      <c:pt idx="11">
                        <c:v>5.1488221273063193</c:v>
                      </c:pt>
                      <c:pt idx="12">
                        <c:v>5.0482607480505646</c:v>
                      </c:pt>
                      <c:pt idx="13">
                        <c:v>5.056452905179289</c:v>
                      </c:pt>
                      <c:pt idx="14">
                        <c:v>5.0503442749780767</c:v>
                      </c:pt>
                      <c:pt idx="15">
                        <c:v>5.051846393333582</c:v>
                      </c:pt>
                      <c:pt idx="16">
                        <c:v>5.0587142497622022</c:v>
                      </c:pt>
                      <c:pt idx="17">
                        <c:v>5.0717022697365577</c:v>
                      </c:pt>
                      <c:pt idx="18">
                        <c:v>5.0679388057945003</c:v>
                      </c:pt>
                      <c:pt idx="19">
                        <c:v>5.0725849099797342</c:v>
                      </c:pt>
                      <c:pt idx="20">
                        <c:v>5.0811604467154972</c:v>
                      </c:pt>
                      <c:pt idx="21">
                        <c:v>5.0758083929896012</c:v>
                      </c:pt>
                      <c:pt idx="22">
                        <c:v>5.0782234595142226</c:v>
                      </c:pt>
                      <c:pt idx="23">
                        <c:v>5.0782234595142226</c:v>
                      </c:pt>
                      <c:pt idx="24">
                        <c:v>5.0782234595142226</c:v>
                      </c:pt>
                      <c:pt idx="25">
                        <c:v>5.0782234595142226</c:v>
                      </c:pt>
                      <c:pt idx="26">
                        <c:v>5.0782234595142226</c:v>
                      </c:pt>
                      <c:pt idx="27">
                        <c:v>5.0782234595142226</c:v>
                      </c:pt>
                      <c:pt idx="28">
                        <c:v>5.0782234595142226</c:v>
                      </c:pt>
                      <c:pt idx="29">
                        <c:v>5.0782234595142226</c:v>
                      </c:pt>
                      <c:pt idx="30">
                        <c:v>5.0782234595142226</c:v>
                      </c:pt>
                      <c:pt idx="31">
                        <c:v>5.0782234595142226</c:v>
                      </c:pt>
                      <c:pt idx="32">
                        <c:v>5.0782234595142226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1-55C0-4163-BF5A-17D7E7C2B040}"/>
                  </c:ext>
                </c:extLst>
              </c15:ser>
            </c15:filteredScatterSeries>
            <c15:filteredScatterSeries>
              <c15:ser>
                <c:idx val="66"/>
                <c:order val="6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GasesSummary!$BX$14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GasesSummary!$BX$15:$BX$47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2-55C0-4163-BF5A-17D7E7C2B040}"/>
                  </c:ext>
                </c:extLst>
              </c15:ser>
            </c15:filteredScatterSeries>
            <c15:filteredScatterSeries>
              <c15:ser>
                <c:idx val="67"/>
                <c:order val="6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GasesSummary!$BY$14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GasesSummary!$BY$15:$BY$47</c15:sqref>
                        </c15:formulaRef>
                      </c:ext>
                    </c:extLst>
                    <c:numCache>
                      <c:formatCode>0.0</c:formatCode>
                      <c:ptCount val="3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3-55C0-4163-BF5A-17D7E7C2B040}"/>
                  </c:ext>
                </c:extLst>
              </c15:ser>
            </c15:filteredScatterSeries>
            <c15:filteredScatterSeries>
              <c15:ser>
                <c:idx val="68"/>
                <c:order val="6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GasesSummary!$BZ$14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GasesSummary!$I$15:$I$47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GasesSummary!$BZ$15:$BZ$47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13">
                        <c:v>-0.25391117297571114</c:v>
                      </c:pt>
                      <c:pt idx="14">
                        <c:v>-0.50782234595142228</c:v>
                      </c:pt>
                      <c:pt idx="15">
                        <c:v>-0.76173351892713348</c:v>
                      </c:pt>
                      <c:pt idx="16">
                        <c:v>-1.0156446919028446</c:v>
                      </c:pt>
                      <c:pt idx="17">
                        <c:v>-1.2695558648785557</c:v>
                      </c:pt>
                      <c:pt idx="18">
                        <c:v>-1.5234670378542667</c:v>
                      </c:pt>
                      <c:pt idx="19">
                        <c:v>-1.7773782108299778</c:v>
                      </c:pt>
                      <c:pt idx="20">
                        <c:v>-2.0312893838056891</c:v>
                      </c:pt>
                      <c:pt idx="21">
                        <c:v>-2.2852005567814002</c:v>
                      </c:pt>
                      <c:pt idx="22">
                        <c:v>-2.5391117297571113</c:v>
                      </c:pt>
                      <c:pt idx="23">
                        <c:v>-2.7930229027328224</c:v>
                      </c:pt>
                      <c:pt idx="24">
                        <c:v>-3.0469340757085335</c:v>
                      </c:pt>
                      <c:pt idx="25">
                        <c:v>-3.3008452486842446</c:v>
                      </c:pt>
                      <c:pt idx="26">
                        <c:v>-3.5547564216599556</c:v>
                      </c:pt>
                      <c:pt idx="27">
                        <c:v>-3.8086675946356667</c:v>
                      </c:pt>
                      <c:pt idx="28">
                        <c:v>-4.0625787676113783</c:v>
                      </c:pt>
                      <c:pt idx="29">
                        <c:v>-4.3164899405870898</c:v>
                      </c:pt>
                      <c:pt idx="30">
                        <c:v>-4.5704011135628013</c:v>
                      </c:pt>
                      <c:pt idx="31">
                        <c:v>-4.8243122865385129</c:v>
                      </c:pt>
                      <c:pt idx="32">
                        <c:v>-5.0782234595142244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4-55C0-4163-BF5A-17D7E7C2B040}"/>
                  </c:ext>
                </c:extLst>
              </c15:ser>
            </c15:filteredScatterSeries>
          </c:ext>
        </c:extLst>
      </c:scatterChart>
      <c:valAx>
        <c:axId val="742276704"/>
        <c:scaling>
          <c:orientation val="minMax"/>
          <c:max val="2030"/>
          <c:min val="201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197600"/>
        <c:crosses val="autoZero"/>
        <c:crossBetween val="midCat"/>
      </c:valAx>
      <c:valAx>
        <c:axId val="67219760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Annual rate of GHG emissions </a:t>
                </a:r>
              </a:p>
              <a:p>
                <a:pPr>
                  <a:defRPr sz="1400"/>
                </a:pPr>
                <a:r>
                  <a:rPr lang="en-US" sz="1400"/>
                  <a:t>(Mt CO</a:t>
                </a:r>
                <a:r>
                  <a:rPr lang="en-US" sz="1400" baseline="-25000"/>
                  <a:t>2</a:t>
                </a:r>
                <a:r>
                  <a:rPr lang="en-US" sz="1400"/>
                  <a:t>eq GWP</a:t>
                </a:r>
                <a:r>
                  <a:rPr lang="en-US" sz="1400" baseline="-25000"/>
                  <a:t>100</a:t>
                </a:r>
                <a:r>
                  <a:rPr lang="en-US" sz="14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276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Ireland's Cumulative Greenhouse Gas Emissions</a:t>
            </a:r>
          </a:p>
          <a:p>
            <a:pPr>
              <a:defRPr/>
            </a:pPr>
            <a:r>
              <a:rPr lang="en-IE"/>
              <a:t>By Scenario (2020-2050)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GasesSummary!$CB$37</c:f>
              <c:strCache>
                <c:ptCount val="1"/>
                <c:pt idx="0">
                  <c:v>Carbon Dioxide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GasesSummary!$CC$36:$CH$36</c:f>
              <c:strCache>
                <c:ptCount val="6"/>
                <c:pt idx="0">
                  <c:v>E51%-A51%</c:v>
                </c:pt>
                <c:pt idx="1">
                  <c:v>E57%-A40%</c:v>
                </c:pt>
                <c:pt idx="2">
                  <c:v>E61%-A33%</c:v>
                </c:pt>
                <c:pt idx="3">
                  <c:v>E65%-A26%</c:v>
                </c:pt>
                <c:pt idx="4">
                  <c:v>E69%-A19%</c:v>
                </c:pt>
                <c:pt idx="5">
                  <c:v>WAM</c:v>
                </c:pt>
              </c:strCache>
            </c:strRef>
          </c:cat>
          <c:val>
            <c:numRef>
              <c:f>GasesSummary!$CC$37:$CH$37</c:f>
              <c:numCache>
                <c:formatCode>0.0</c:formatCode>
                <c:ptCount val="6"/>
                <c:pt idx="0">
                  <c:v>560.43235341844343</c:v>
                </c:pt>
                <c:pt idx="1">
                  <c:v>525.73930707246723</c:v>
                </c:pt>
                <c:pt idx="2">
                  <c:v>502.31923683788119</c:v>
                </c:pt>
                <c:pt idx="3">
                  <c:v>478.60665829310796</c:v>
                </c:pt>
                <c:pt idx="4">
                  <c:v>448.88784411593213</c:v>
                </c:pt>
                <c:pt idx="5">
                  <c:v>1006.3846904492181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1-4FF8-9424-71047EE32BE7}"/>
            </c:ext>
          </c:extLst>
        </c:ser>
        <c:ser>
          <c:idx val="1"/>
          <c:order val="1"/>
          <c:tx>
            <c:strRef>
              <c:f>GasesSummary!$CB$38</c:f>
              <c:strCache>
                <c:ptCount val="1"/>
                <c:pt idx="0">
                  <c:v>Methane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GasesSummary!$CC$36:$CH$36</c:f>
              <c:strCache>
                <c:ptCount val="6"/>
                <c:pt idx="0">
                  <c:v>E51%-A51%</c:v>
                </c:pt>
                <c:pt idx="1">
                  <c:v>E57%-A40%</c:v>
                </c:pt>
                <c:pt idx="2">
                  <c:v>E61%-A33%</c:v>
                </c:pt>
                <c:pt idx="3">
                  <c:v>E65%-A26%</c:v>
                </c:pt>
                <c:pt idx="4">
                  <c:v>E69%-A19%</c:v>
                </c:pt>
                <c:pt idx="5">
                  <c:v>WAM</c:v>
                </c:pt>
              </c:strCache>
            </c:strRef>
          </c:cat>
          <c:val>
            <c:numRef>
              <c:f>GasesSummary!$CC$38:$CH$38</c:f>
              <c:numCache>
                <c:formatCode>0.0</c:formatCode>
                <c:ptCount val="6"/>
                <c:pt idx="0">
                  <c:v>316.03609052174392</c:v>
                </c:pt>
                <c:pt idx="1">
                  <c:v>362.66524600157049</c:v>
                </c:pt>
                <c:pt idx="2">
                  <c:v>392.33834494327897</c:v>
                </c:pt>
                <c:pt idx="3">
                  <c:v>422.01144388498722</c:v>
                </c:pt>
                <c:pt idx="4">
                  <c:v>453.80404989395936</c:v>
                </c:pt>
                <c:pt idx="5">
                  <c:v>460.41051416837888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1-4FF8-9424-71047EE32BE7}"/>
            </c:ext>
          </c:extLst>
        </c:ser>
        <c:ser>
          <c:idx val="2"/>
          <c:order val="2"/>
          <c:tx>
            <c:strRef>
              <c:f>GasesSummary!$CB$39</c:f>
              <c:strCache>
                <c:ptCount val="1"/>
                <c:pt idx="0">
                  <c:v>Nitrous Oxide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GasesSummary!$CC$36:$CH$36</c:f>
              <c:strCache>
                <c:ptCount val="6"/>
                <c:pt idx="0">
                  <c:v>E51%-A51%</c:v>
                </c:pt>
                <c:pt idx="1">
                  <c:v>E57%-A40%</c:v>
                </c:pt>
                <c:pt idx="2">
                  <c:v>E61%-A33%</c:v>
                </c:pt>
                <c:pt idx="3">
                  <c:v>E65%-A26%</c:v>
                </c:pt>
                <c:pt idx="4">
                  <c:v>E69%-A19%</c:v>
                </c:pt>
                <c:pt idx="5">
                  <c:v>WAM</c:v>
                </c:pt>
              </c:strCache>
            </c:strRef>
          </c:cat>
          <c:val>
            <c:numRef>
              <c:f>GasesSummary!$CC$39:$CH$39</c:f>
              <c:numCache>
                <c:formatCode>0.0</c:formatCode>
                <c:ptCount val="6"/>
                <c:pt idx="0">
                  <c:v>121.98409554870672</c:v>
                </c:pt>
                <c:pt idx="1">
                  <c:v>139.7233221728583</c:v>
                </c:pt>
                <c:pt idx="2">
                  <c:v>151.01192093368206</c:v>
                </c:pt>
                <c:pt idx="3">
                  <c:v>162.30051969450582</c:v>
                </c:pt>
                <c:pt idx="4">
                  <c:v>174.39544693824539</c:v>
                </c:pt>
                <c:pt idx="5">
                  <c:v>162.86119749134085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1-4FF8-9424-71047EE32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26621343"/>
        <c:axId val="202969360"/>
      </c:barChart>
      <c:catAx>
        <c:axId val="212662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9360"/>
        <c:crosses val="autoZero"/>
        <c:auto val="1"/>
        <c:lblAlgn val="ctr"/>
        <c:lblOffset val="100"/>
        <c:noMultiLvlLbl val="0"/>
      </c:catAx>
      <c:valAx>
        <c:axId val="2029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emissions by gas</a:t>
                </a:r>
              </a:p>
              <a:p>
                <a:pPr>
                  <a:defRPr/>
                </a:pPr>
                <a:r>
                  <a:rPr lang="en-US"/>
                  <a:t> (Mt CO</a:t>
                </a:r>
                <a:r>
                  <a:rPr lang="en-US" baseline="-25000"/>
                  <a:t>2</a:t>
                </a:r>
                <a:r>
                  <a:rPr lang="en-US"/>
                  <a:t>eq GWP</a:t>
                </a:r>
                <a:r>
                  <a:rPr lang="en-US" baseline="-25000"/>
                  <a:t>100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62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Illustrative scenario of Greenhouse Gas Emissions 2018-2030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4"/>
          <c:tx>
            <c:strRef>
              <c:f>GasesSummary!$EU$14</c:f>
              <c:strCache>
                <c:ptCount val="1"/>
                <c:pt idx="0">
                  <c:v>GWP100 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196942E-76BB-482E-AAE8-B7BD2AB0CD1C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D9B-4696-B1BC-ED8DCA6E36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D7BBAD-CCF8-435C-AA61-415B91BBE26D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D9B-4696-B1BC-ED8DCA6E36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1883D5-6D32-4362-BE23-39F2A8673718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D9B-4696-B1BC-ED8DCA6E36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F2E9B8-4673-433F-94A5-7FAD4416EA4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D9B-4696-B1BC-ED8DCA6E36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1875B12-24F6-4D92-9565-EA11655338D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D9B-4696-B1BC-ED8DCA6E36D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BC0342F-108D-48A1-9080-0B6901B11BFE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D9B-4696-B1BC-ED8DCA6E36D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FAC909E-947D-4A48-9500-A89951BAD35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D9B-4696-B1BC-ED8DCA6E36D5}"/>
                </c:ext>
              </c:extLst>
            </c:dLbl>
            <c:dLbl>
              <c:idx val="7"/>
              <c:layout>
                <c:manualLayout>
                  <c:x val="7.0880078023896915E-3"/>
                  <c:y val="-1.8477780105687083E-2"/>
                </c:manualLayout>
              </c:layout>
              <c:tx>
                <c:rich>
                  <a:bodyPr/>
                  <a:lstStyle/>
                  <a:p>
                    <a:fld id="{83FE97EA-F8AC-44B7-87E1-42C3FCE1F41A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D9B-4696-B1BC-ED8DCA6E36D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B2759E2-7A64-4104-82F5-D63DEF664D9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D9B-4696-B1BC-ED8DCA6E36D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B494312-EECC-4ADB-841F-5A2A93C0A11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AD9B-4696-B1BC-ED8DCA6E36D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014AE8D-655F-4967-BCC2-55A02E51A3D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D9B-4696-B1BC-ED8DCA6E36D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DEF1906-3258-4E2F-B0F8-5581943D935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D9B-4696-B1BC-ED8DCA6E36D5}"/>
                </c:ext>
              </c:extLst>
            </c:dLbl>
            <c:dLbl>
              <c:idx val="12"/>
              <c:layout>
                <c:manualLayout>
                  <c:x val="-2.6580029258961472E-2"/>
                  <c:y val="-4.4874608828097198E-2"/>
                </c:manualLayout>
              </c:layout>
              <c:tx>
                <c:rich>
                  <a:bodyPr/>
                  <a:lstStyle/>
                  <a:p>
                    <a:fld id="{0E39E344-06D5-45C5-807B-A0871B97EBB7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D9B-4696-B1BC-ED8DCA6E36D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35CD0B0-FFEC-458A-BCF3-519F2FD9C41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D9B-4696-B1BC-ED8DCA6E36D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0E3F49A-6C40-4C27-91F6-95B0CB4D0AF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D9B-4696-B1BC-ED8DCA6E36D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FACE8C8-9C90-4931-9ADA-9576D001D07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AD9B-4696-B1BC-ED8DCA6E36D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36EC7C8-0DE8-4A0A-90F5-6C07D20B441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AD9B-4696-B1BC-ED8DCA6E36D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8B2538F-77F0-4F86-9A60-0B3832D7FC9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AD9B-4696-B1BC-ED8DCA6E36D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24D344A-B30F-47E1-B739-C3B0326180B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AD9B-4696-B1BC-ED8DCA6E36D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7442CF0-BB5C-4947-8F2C-20EF72FAFD0D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AD9B-4696-B1BC-ED8DCA6E36D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1C6C844-8376-44C0-818A-BA538B9C59B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AD9B-4696-B1BC-ED8DCA6E36D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B384319-8B19-4901-BBBD-2EFC8734D83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AD9B-4696-B1BC-ED8DCA6E36D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278BAAD-0FA0-4D1B-844A-3FAD8E5A9FF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D9B-4696-B1BC-ED8DCA6E36D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3D26502-E5AE-4718-AC4A-C1B5B7B549B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AD9B-4696-B1BC-ED8DCA6E36D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F996F9E-4E68-410D-9104-89AEC3BCD038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AD9B-4696-B1BC-ED8DCA6E36D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28B008A-AE1A-45ED-ACC3-B13150522D5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AD9B-4696-B1BC-ED8DCA6E36D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8418B3B-7BB3-425C-B491-9CF76FC36F0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AD9B-4696-B1BC-ED8DCA6E36D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795C41F-B4C4-4F74-82C5-AD7D2B27E55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AD9B-4696-B1BC-ED8DCA6E36D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1B70ED17-A754-417B-9271-10CE1F112DA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AD9B-4696-B1BC-ED8DCA6E36D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81515EB-13E3-48CA-8666-C9D42589EE7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AD9B-4696-B1BC-ED8DCA6E36D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44E44D5E-885D-4FE8-91A4-6D0A78581FE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AD9B-4696-B1BC-ED8DCA6E36D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C71A0E7-8B45-46B7-B727-4F4CEB316CB9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AD9B-4696-B1BC-ED8DCA6E36D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515FAA6-452E-413C-BC42-3B9C7ACF5EDE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AD9B-4696-B1BC-ED8DCA6E3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GasesSummary!$EP$15:$EP$47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GasesSummary!$EU$15:$EU$47</c:f>
              <c:numCache>
                <c:formatCode>0.0</c:formatCode>
                <c:ptCount val="33"/>
                <c:pt idx="0">
                  <c:v>68.33582008042093</c:v>
                </c:pt>
                <c:pt idx="1">
                  <c:v>65.145770662662386</c:v>
                </c:pt>
                <c:pt idx="2">
                  <c:v>62.442913673206689</c:v>
                </c:pt>
                <c:pt idx="3">
                  <c:v>64.30000785776484</c:v>
                </c:pt>
                <c:pt idx="4">
                  <c:v>64.815710032434311</c:v>
                </c:pt>
                <c:pt idx="5">
                  <c:v>66.073172415813445</c:v>
                </c:pt>
                <c:pt idx="6">
                  <c:v>63.660295997931264</c:v>
                </c:pt>
                <c:pt idx="7">
                  <c:v>62.30704990437598</c:v>
                </c:pt>
                <c:pt idx="8">
                  <c:v>58.82166402733305</c:v>
                </c:pt>
                <c:pt idx="9">
                  <c:v>58.382811221679333</c:v>
                </c:pt>
                <c:pt idx="10">
                  <c:v>56.670800062084204</c:v>
                </c:pt>
                <c:pt idx="11">
                  <c:v>55.821014188803929</c:v>
                </c:pt>
                <c:pt idx="12">
                  <c:v>55.65558495567484</c:v>
                </c:pt>
                <c:pt idx="13">
                  <c:v>56.171445397191526</c:v>
                </c:pt>
                <c:pt idx="14">
                  <c:v>56.205090636747457</c:v>
                </c:pt>
                <c:pt idx="15">
                  <c:v>55.960660756806362</c:v>
                </c:pt>
                <c:pt idx="16">
                  <c:v>57.114149527954979</c:v>
                </c:pt>
                <c:pt idx="17">
                  <c:v>57.303050806669091</c:v>
                </c:pt>
                <c:pt idx="18">
                  <c:v>57.462820649324399</c:v>
                </c:pt>
                <c:pt idx="19">
                  <c:v>57.692896227304928</c:v>
                </c:pt>
                <c:pt idx="20">
                  <c:v>57.456702758878677</c:v>
                </c:pt>
                <c:pt idx="21">
                  <c:v>57.062151552984865</c:v>
                </c:pt>
                <c:pt idx="22">
                  <c:v>57.262292665609621</c:v>
                </c:pt>
                <c:pt idx="23">
                  <c:v>52.990835280361772</c:v>
                </c:pt>
                <c:pt idx="24">
                  <c:v>48.719377895113922</c:v>
                </c:pt>
                <c:pt idx="25">
                  <c:v>44.447920509866073</c:v>
                </c:pt>
                <c:pt idx="26">
                  <c:v>40.17646312461823</c:v>
                </c:pt>
                <c:pt idx="27">
                  <c:v>35.905005739370381</c:v>
                </c:pt>
                <c:pt idx="28">
                  <c:v>31.633548354122532</c:v>
                </c:pt>
                <c:pt idx="29">
                  <c:v>27.362090968874689</c:v>
                </c:pt>
                <c:pt idx="30">
                  <c:v>23.09063358362684</c:v>
                </c:pt>
                <c:pt idx="31">
                  <c:v>18.81917619837899</c:v>
                </c:pt>
                <c:pt idx="32">
                  <c:v>14.547718813131144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GasesSummary!$EY$15:$EY$47</c15:f>
                <c15:dlblRangeCache>
                  <c:ptCount val="33"/>
                  <c:pt idx="7">
                    <c:v>9%</c:v>
                  </c:pt>
                  <c:pt idx="12">
                    <c:v>19%</c:v>
                  </c:pt>
                  <c:pt idx="17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D9B-4696-B1BC-ED8DCA6E36D5}"/>
            </c:ext>
          </c:extLst>
        </c:ser>
        <c:ser>
          <c:idx val="5"/>
          <c:order val="5"/>
          <c:tx>
            <c:strRef>
              <c:f>GasesSummary!$EV$14</c:f>
              <c:strCache>
                <c:ptCount val="1"/>
                <c:pt idx="0">
                  <c:v>Illustrative Scenario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3FC46DB-EFD6-4866-852F-7C653294BBD7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AD9B-4696-B1BC-ED8DCA6E36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311C4C-57C0-463A-94C5-0A5DE0BC527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AD9B-4696-B1BC-ED8DCA6E36D5}"/>
                </c:ext>
              </c:extLst>
            </c:dLbl>
            <c:dLbl>
              <c:idx val="2"/>
              <c:layout>
                <c:manualLayout>
                  <c:x val="1.7720019505973903E-3"/>
                  <c:y val="3.9595243083615179E-2"/>
                </c:manualLayout>
              </c:layout>
              <c:tx>
                <c:rich>
                  <a:bodyPr/>
                  <a:lstStyle/>
                  <a:p>
                    <a:fld id="{7AD9B124-67F7-489A-ADBC-95471F5CDDC8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D9B-4696-B1BC-ED8DCA6E36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A60B297-8424-4284-A4D7-BBABE948CE9C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AD9B-4696-B1BC-ED8DCA6E36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767491B-90A6-4172-B748-B7AC63C8EEB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AD9B-4696-B1BC-ED8DCA6E36D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11F49E-73CD-45A6-AA26-2AF55D0DEE6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AD9B-4696-B1BC-ED8DCA6E36D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62A1AAC-6C83-4C4C-BA65-7F57AC8DA42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AD9B-4696-B1BC-ED8DCA6E36D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387CA78-17D1-4A3C-8837-194F38C1B1D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AD9B-4696-B1BC-ED8DCA6E36D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9D3EE55-2F48-458B-B77A-B7D888DC74A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AD9B-4696-B1BC-ED8DCA6E36D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9E7D955-CD8C-492C-8183-077C43774DFA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AD9B-4696-B1BC-ED8DCA6E36D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EC654D2-5441-4F00-9018-23E170222CDB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AD9B-4696-B1BC-ED8DCA6E36D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B15A708-86DA-481E-98D8-0A2CF6696202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AD9B-4696-B1BC-ED8DCA6E36D5}"/>
                </c:ext>
              </c:extLst>
            </c:dLbl>
            <c:dLbl>
              <c:idx val="12"/>
              <c:layout>
                <c:manualLayout>
                  <c:x val="-4.2528046814338277E-2"/>
                  <c:y val="2.6396828722409924E-2"/>
                </c:manualLayout>
              </c:layout>
              <c:tx>
                <c:rich>
                  <a:bodyPr/>
                  <a:lstStyle/>
                  <a:p>
                    <a:fld id="{B2BDCEA1-555A-4141-8949-A0AA80B3512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D9B-4696-B1BC-ED8DCA6E36D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10380B0-DB84-4B00-873E-2C246662C81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AD9B-4696-B1BC-ED8DCA6E36D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BFF78DB-BDC1-446B-B3BC-B476A05161EE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AD9B-4696-B1BC-ED8DCA6E36D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FF975F1-0DE3-45EB-BA61-041539E7D93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AD9B-4696-B1BC-ED8DCA6E36D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222942B-95BB-4EFA-9690-BB0D18686791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AD9B-4696-B1BC-ED8DCA6E36D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0427B40-6BAB-4097-9056-7DFACE038A4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AD9B-4696-B1BC-ED8DCA6E36D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74C4667-E270-463A-89B8-E043BBC46F78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AD9B-4696-B1BC-ED8DCA6E36D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D24014F-9B72-4F61-87EF-8EC7741484F4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AD9B-4696-B1BC-ED8DCA6E36D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5D9610C-0856-473D-A7CC-5A63C2F7056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AD9B-4696-B1BC-ED8DCA6E36D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07F381B-AD63-4193-BFF7-0F97F120BB3B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AD9B-4696-B1BC-ED8DCA6E36D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BCC28C21-47ED-42C3-AFAC-B5989B64C93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AD9B-4696-B1BC-ED8DCA6E36D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94CC957-1CA3-4037-B046-757033F782F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AD9B-4696-B1BC-ED8DCA6E36D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FEF20C4-32E4-44D8-8BCB-3CC6DB44B99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AD9B-4696-B1BC-ED8DCA6E36D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72AEBDD-0C6C-40BA-97D5-D79A15BBB28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AD9B-4696-B1BC-ED8DCA6E36D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60A5AB3-98C8-42CC-B22B-7542AFC92BB6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AD9B-4696-B1BC-ED8DCA6E36D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C46A12A-1190-4B28-B0B9-1AA59E6E72A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AD9B-4696-B1BC-ED8DCA6E36D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5E9240C-9B3D-4597-8C53-449E9B845C03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AD9B-4696-B1BC-ED8DCA6E36D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BD02912-2022-4002-8BC6-19C98FB13185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AD9B-4696-B1BC-ED8DCA6E36D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BAAA72D-D4BF-4403-9696-706482FCC7EF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AD9B-4696-B1BC-ED8DCA6E36D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7FEFE65E-2168-4B20-AB9F-88ADFB3AECCE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AD9B-4696-B1BC-ED8DCA6E36D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4E1371F-267B-4BAF-BB15-C60D30B65B00}" type="CELLRANGE">
                      <a:rPr lang="en-US"/>
                      <a:pPr/>
                      <a:t>[CELLRANGE]</a:t>
                    </a:fld>
                    <a:endParaRPr lang="en-I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AD9B-4696-B1BC-ED8DCA6E3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GasesSummary!$EP$15:$EP$47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GasesSummary!$EV$15:$EV$47</c:f>
              <c:numCache>
                <c:formatCode>0.0</c:formatCode>
                <c:ptCount val="33"/>
                <c:pt idx="0">
                  <c:v>68.311052432169276</c:v>
                </c:pt>
                <c:pt idx="1">
                  <c:v>66.292618265952399</c:v>
                </c:pt>
                <c:pt idx="2">
                  <c:v>60.765480652382145</c:v>
                </c:pt>
                <c:pt idx="3">
                  <c:v>62.873950039178766</c:v>
                </c:pt>
                <c:pt idx="4">
                  <c:v>62.307590978617796</c:v>
                </c:pt>
                <c:pt idx="5">
                  <c:v>62.351489528317678</c:v>
                </c:pt>
                <c:pt idx="6">
                  <c:v>56.433865517470707</c:v>
                </c:pt>
                <c:pt idx="7">
                  <c:v>52.055316441054657</c:v>
                </c:pt>
                <c:pt idx="8">
                  <c:v>46.877501161233283</c:v>
                </c:pt>
                <c:pt idx="9">
                  <c:v>43.25600154735406</c:v>
                </c:pt>
                <c:pt idx="10">
                  <c:v>39.500126060330487</c:v>
                </c:pt>
                <c:pt idx="11">
                  <c:v>36.206189938253388</c:v>
                </c:pt>
                <c:pt idx="12">
                  <c:v>33.635799327357901</c:v>
                </c:pt>
                <c:pt idx="13">
                  <c:v>32.496277119468658</c:v>
                </c:pt>
                <c:pt idx="14">
                  <c:v>31.356754911579422</c:v>
                </c:pt>
                <c:pt idx="15">
                  <c:v>30.217232703690161</c:v>
                </c:pt>
                <c:pt idx="16">
                  <c:v>29.077710495800904</c:v>
                </c:pt>
                <c:pt idx="17">
                  <c:v>27.938188287911665</c:v>
                </c:pt>
                <c:pt idx="18">
                  <c:v>26.798666080022411</c:v>
                </c:pt>
                <c:pt idx="19">
                  <c:v>25.659143872133164</c:v>
                </c:pt>
                <c:pt idx="20">
                  <c:v>24.51962166424391</c:v>
                </c:pt>
                <c:pt idx="21">
                  <c:v>23.380099456354664</c:v>
                </c:pt>
                <c:pt idx="22">
                  <c:v>22.24057724846541</c:v>
                </c:pt>
                <c:pt idx="23">
                  <c:v>21.10105504057616</c:v>
                </c:pt>
                <c:pt idx="24">
                  <c:v>19.961532832686913</c:v>
                </c:pt>
                <c:pt idx="25">
                  <c:v>18.822010624797663</c:v>
                </c:pt>
                <c:pt idx="26">
                  <c:v>17.68248841690842</c:v>
                </c:pt>
                <c:pt idx="27">
                  <c:v>16.54296620901917</c:v>
                </c:pt>
                <c:pt idx="28">
                  <c:v>15.40344400112992</c:v>
                </c:pt>
                <c:pt idx="29">
                  <c:v>14.263921793240673</c:v>
                </c:pt>
                <c:pt idx="30">
                  <c:v>13.124399585351417</c:v>
                </c:pt>
                <c:pt idx="31">
                  <c:v>11.984877377462171</c:v>
                </c:pt>
                <c:pt idx="32">
                  <c:v>10.845355169572919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GasesSummary!$EZ$15:$EZ$47</c15:f>
                <c15:dlblRangeCache>
                  <c:ptCount val="33"/>
                  <c:pt idx="2">
                    <c:v>11%</c:v>
                  </c:pt>
                  <c:pt idx="7">
                    <c:v>24%</c:v>
                  </c:pt>
                  <c:pt idx="12">
                    <c:v>51%</c:v>
                  </c:pt>
                  <c:pt idx="17">
                    <c:v>59%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AD9B-4696-B1BC-ED8DCA6E3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579727"/>
        <c:axId val="795109423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GasesSummary!$EQ$14</c15:sqref>
                        </c15:formulaRef>
                      </c:ext>
                    </c:extLst>
                    <c:strCache>
                      <c:ptCount val="1"/>
                      <c:pt idx="0">
                        <c:v>GWP100 E51%-A51%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GasesSummary!$EP$15:$EP$47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GasesSummary!$EQ$15:$EQ$47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68.311052432169276</c:v>
                      </c:pt>
                      <c:pt idx="1">
                        <c:v>66.292618265952399</c:v>
                      </c:pt>
                      <c:pt idx="2">
                        <c:v>60.765480652382145</c:v>
                      </c:pt>
                      <c:pt idx="3">
                        <c:v>62.880982109298884</c:v>
                      </c:pt>
                      <c:pt idx="4">
                        <c:v>61.970554852836258</c:v>
                      </c:pt>
                      <c:pt idx="5">
                        <c:v>61.670385206634542</c:v>
                      </c:pt>
                      <c:pt idx="6">
                        <c:v>56.187660637912458</c:v>
                      </c:pt>
                      <c:pt idx="7">
                        <c:v>52.090212957000716</c:v>
                      </c:pt>
                      <c:pt idx="8">
                        <c:v>47.064766214040688</c:v>
                      </c:pt>
                      <c:pt idx="9">
                        <c:v>43.484423574830316</c:v>
                      </c:pt>
                      <c:pt idx="10">
                        <c:v>39.67650149941278</c:v>
                      </c:pt>
                      <c:pt idx="11">
                        <c:v>36.252403008933356</c:v>
                      </c:pt>
                      <c:pt idx="12">
                        <c:v>33.485658465267157</c:v>
                      </c:pt>
                      <c:pt idx="13">
                        <c:v>32.239189918850144</c:v>
                      </c:pt>
                      <c:pt idx="14">
                        <c:v>30.992721372433202</c:v>
                      </c:pt>
                      <c:pt idx="15">
                        <c:v>29.746252826016132</c:v>
                      </c:pt>
                      <c:pt idx="16">
                        <c:v>28.499784279599115</c:v>
                      </c:pt>
                      <c:pt idx="17">
                        <c:v>27.25331573318212</c:v>
                      </c:pt>
                      <c:pt idx="18">
                        <c:v>26.006847186765089</c:v>
                      </c:pt>
                      <c:pt idx="19">
                        <c:v>24.760378640348073</c:v>
                      </c:pt>
                      <c:pt idx="20">
                        <c:v>23.513910093931059</c:v>
                      </c:pt>
                      <c:pt idx="21">
                        <c:v>22.267441547514043</c:v>
                      </c:pt>
                      <c:pt idx="22">
                        <c:v>21.020973001097026</c:v>
                      </c:pt>
                      <c:pt idx="23">
                        <c:v>19.774504454680002</c:v>
                      </c:pt>
                      <c:pt idx="24">
                        <c:v>18.528035908262986</c:v>
                      </c:pt>
                      <c:pt idx="25">
                        <c:v>17.28156736184598</c:v>
                      </c:pt>
                      <c:pt idx="26">
                        <c:v>16.03509881542897</c:v>
                      </c:pt>
                      <c:pt idx="27">
                        <c:v>14.788630269011946</c:v>
                      </c:pt>
                      <c:pt idx="28">
                        <c:v>13.542161722594944</c:v>
                      </c:pt>
                      <c:pt idx="29">
                        <c:v>12.295693176177926</c:v>
                      </c:pt>
                      <c:pt idx="30">
                        <c:v>11.049224629760896</c:v>
                      </c:pt>
                      <c:pt idx="31">
                        <c:v>9.8027560833438834</c:v>
                      </c:pt>
                      <c:pt idx="32">
                        <c:v>8.5562875369268809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D9B-4696-B1BC-ED8DCA6E36D5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GasesSummary!$ER$14</c15:sqref>
                        </c15:formulaRef>
                      </c:ext>
                    </c:extLst>
                    <c:strCache>
                      <c:ptCount val="1"/>
                      <c:pt idx="0">
                        <c:v>GWP100 E57%-A40%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GasesSummary!$EP$15:$EP$47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GasesSummary!$ER$15:$ER$47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68.311052432169276</c:v>
                      </c:pt>
                      <c:pt idx="1">
                        <c:v>66.292618265952399</c:v>
                      </c:pt>
                      <c:pt idx="2">
                        <c:v>60.765480652382145</c:v>
                      </c:pt>
                      <c:pt idx="3">
                        <c:v>62.875356453202762</c:v>
                      </c:pt>
                      <c:pt idx="4">
                        <c:v>62.245385238884019</c:v>
                      </c:pt>
                      <c:pt idx="5">
                        <c:v>62.225671634826185</c:v>
                      </c:pt>
                      <c:pt idx="6">
                        <c:v>56.432546055724217</c:v>
                      </c:pt>
                      <c:pt idx="7">
                        <c:v>52.131771953851981</c:v>
                      </c:pt>
                      <c:pt idx="8">
                        <c:v>46.993525488258847</c:v>
                      </c:pt>
                      <c:pt idx="9">
                        <c:v>43.380202365800841</c:v>
                      </c:pt>
                      <c:pt idx="10">
                        <c:v>39.607438182220619</c:v>
                      </c:pt>
                      <c:pt idx="11">
                        <c:v>36.275928499721886</c:v>
                      </c:pt>
                      <c:pt idx="12">
                        <c:v>33.652389842670985</c:v>
                      </c:pt>
                      <c:pt idx="13">
                        <c:v>32.490843038343421</c:v>
                      </c:pt>
                      <c:pt idx="14">
                        <c:v>31.329296234015878</c:v>
                      </c:pt>
                      <c:pt idx="15">
                        <c:v>30.167749429688332</c:v>
                      </c:pt>
                      <c:pt idx="16">
                        <c:v>29.006202625360771</c:v>
                      </c:pt>
                      <c:pt idx="17">
                        <c:v>27.844655821033221</c:v>
                      </c:pt>
                      <c:pt idx="18">
                        <c:v>26.683109016705671</c:v>
                      </c:pt>
                      <c:pt idx="19">
                        <c:v>25.521562212378122</c:v>
                      </c:pt>
                      <c:pt idx="20">
                        <c:v>24.360015408050572</c:v>
                      </c:pt>
                      <c:pt idx="21">
                        <c:v>23.198468603723015</c:v>
                      </c:pt>
                      <c:pt idx="22">
                        <c:v>22.036921799395458</c:v>
                      </c:pt>
                      <c:pt idx="23">
                        <c:v>20.875374995067911</c:v>
                      </c:pt>
                      <c:pt idx="24">
                        <c:v>19.713828190740362</c:v>
                      </c:pt>
                      <c:pt idx="25">
                        <c:v>18.552281386412805</c:v>
                      </c:pt>
                      <c:pt idx="26">
                        <c:v>17.390734582085255</c:v>
                      </c:pt>
                      <c:pt idx="27">
                        <c:v>16.229187777757708</c:v>
                      </c:pt>
                      <c:pt idx="28">
                        <c:v>15.067640973430162</c:v>
                      </c:pt>
                      <c:pt idx="29">
                        <c:v>13.906094169102598</c:v>
                      </c:pt>
                      <c:pt idx="30">
                        <c:v>12.744547364775052</c:v>
                      </c:pt>
                      <c:pt idx="31">
                        <c:v>11.583000560447505</c:v>
                      </c:pt>
                      <c:pt idx="32">
                        <c:v>10.421453756119956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D9B-4696-B1BC-ED8DCA6E36D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GasesSummary!$ES$14</c15:sqref>
                        </c15:formulaRef>
                      </c:ext>
                    </c:extLst>
                    <c:strCache>
                      <c:ptCount val="1"/>
                      <c:pt idx="0">
                        <c:v>GWP100 E61%-A33%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GasesSummary!$EP$15:$EP$47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GasesSummary!$ES$15:$ES$47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68.311052432169276</c:v>
                      </c:pt>
                      <c:pt idx="1">
                        <c:v>66.292618265952399</c:v>
                      </c:pt>
                      <c:pt idx="2">
                        <c:v>60.765480652382145</c:v>
                      </c:pt>
                      <c:pt idx="3">
                        <c:v>62.871606015805426</c:v>
                      </c:pt>
                      <c:pt idx="4">
                        <c:v>62.419936353878299</c:v>
                      </c:pt>
                      <c:pt idx="5">
                        <c:v>62.578524302212031</c:v>
                      </c:pt>
                      <c:pt idx="6">
                        <c:v>56.529561485673824</c:v>
                      </c:pt>
                      <c:pt idx="7">
                        <c:v>52.063476844692637</c:v>
                      </c:pt>
                      <c:pt idx="8">
                        <c:v>46.835845457942462</c:v>
                      </c:pt>
                      <c:pt idx="9">
                        <c:v>43.198355573337437</c:v>
                      </c:pt>
                      <c:pt idx="10">
                        <c:v>39.454961922320095</c:v>
                      </c:pt>
                      <c:pt idx="11">
                        <c:v>36.198572824226929</c:v>
                      </c:pt>
                      <c:pt idx="12">
                        <c:v>33.686170749840926</c:v>
                      </c:pt>
                      <c:pt idx="13">
                        <c:v>32.582281098038308</c:v>
                      </c:pt>
                      <c:pt idx="14">
                        <c:v>31.478391446235658</c:v>
                      </c:pt>
                      <c:pt idx="15">
                        <c:v>30.374501794433037</c:v>
                      </c:pt>
                      <c:pt idx="16">
                        <c:v>29.270612142630391</c:v>
                      </c:pt>
                      <c:pt idx="17">
                        <c:v>28.166722490827762</c:v>
                      </c:pt>
                      <c:pt idx="18">
                        <c:v>27.062832839025138</c:v>
                      </c:pt>
                      <c:pt idx="19">
                        <c:v>25.958943187222502</c:v>
                      </c:pt>
                      <c:pt idx="20">
                        <c:v>24.855053535419856</c:v>
                      </c:pt>
                      <c:pt idx="21">
                        <c:v>23.751163883617238</c:v>
                      </c:pt>
                      <c:pt idx="22">
                        <c:v>22.647274231814595</c:v>
                      </c:pt>
                      <c:pt idx="23">
                        <c:v>21.54338458001196</c:v>
                      </c:pt>
                      <c:pt idx="24">
                        <c:v>20.439494928209335</c:v>
                      </c:pt>
                      <c:pt idx="25">
                        <c:v>19.335605276406699</c:v>
                      </c:pt>
                      <c:pt idx="26">
                        <c:v>18.23171562460406</c:v>
                      </c:pt>
                      <c:pt idx="27">
                        <c:v>17.127825972801443</c:v>
                      </c:pt>
                      <c:pt idx="28">
                        <c:v>16.023936320998796</c:v>
                      </c:pt>
                      <c:pt idx="29">
                        <c:v>14.920046669196166</c:v>
                      </c:pt>
                      <c:pt idx="30">
                        <c:v>13.816157017393532</c:v>
                      </c:pt>
                      <c:pt idx="31">
                        <c:v>12.7122673655909</c:v>
                      </c:pt>
                      <c:pt idx="32">
                        <c:v>11.608377713788256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D9B-4696-B1BC-ED8DCA6E36D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GasesSummary!$ET$14</c15:sqref>
                        </c15:formulaRef>
                      </c:ext>
                    </c:extLst>
                    <c:strCache>
                      <c:ptCount val="1"/>
                      <c:pt idx="0">
                        <c:v>GWP100 E65%-A26%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GasesSummary!$EP$15:$EP$47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GasesSummary!$ET$15:$ET$47</c15:sqref>
                        </c15:formulaRef>
                      </c:ext>
                    </c:extLst>
                    <c:numCache>
                      <c:formatCode>0.0</c:formatCode>
                      <c:ptCount val="33"/>
                      <c:pt idx="0">
                        <c:v>68.311052432169276</c:v>
                      </c:pt>
                      <c:pt idx="1">
                        <c:v>66.292618265952399</c:v>
                      </c:pt>
                      <c:pt idx="2">
                        <c:v>60.765480652382145</c:v>
                      </c:pt>
                      <c:pt idx="3">
                        <c:v>62.867855578408019</c:v>
                      </c:pt>
                      <c:pt idx="4">
                        <c:v>62.594487468872614</c:v>
                      </c:pt>
                      <c:pt idx="5">
                        <c:v>62.931376969597949</c:v>
                      </c:pt>
                      <c:pt idx="6">
                        <c:v>56.585693890572301</c:v>
                      </c:pt>
                      <c:pt idx="7">
                        <c:v>51.935804008673315</c:v>
                      </c:pt>
                      <c:pt idx="8">
                        <c:v>46.61586748469113</c:v>
                      </c:pt>
                      <c:pt idx="9">
                        <c:v>42.961024675447646</c:v>
                      </c:pt>
                      <c:pt idx="10">
                        <c:v>39.261602637368448</c:v>
                      </c:pt>
                      <c:pt idx="11">
                        <c:v>36.097855420131367</c:v>
                      </c:pt>
                      <c:pt idx="12">
                        <c:v>33.71897825165253</c:v>
                      </c:pt>
                      <c:pt idx="13">
                        <c:v>32.672794422642738</c:v>
                      </c:pt>
                      <c:pt idx="14">
                        <c:v>31.626610593632947</c:v>
                      </c:pt>
                      <c:pt idx="15">
                        <c:v>30.580426764623137</c:v>
                      </c:pt>
                      <c:pt idx="16">
                        <c:v>29.534242935613339</c:v>
                      </c:pt>
                      <c:pt idx="17">
                        <c:v>28.488059106603551</c:v>
                      </c:pt>
                      <c:pt idx="18">
                        <c:v>27.441875277593748</c:v>
                      </c:pt>
                      <c:pt idx="19">
                        <c:v>26.395691448583953</c:v>
                      </c:pt>
                      <c:pt idx="20">
                        <c:v>25.349507619574155</c:v>
                      </c:pt>
                      <c:pt idx="21">
                        <c:v>24.303323790564363</c:v>
                      </c:pt>
                      <c:pt idx="22">
                        <c:v>23.257139961554554</c:v>
                      </c:pt>
                      <c:pt idx="23">
                        <c:v>22.210956132544766</c:v>
                      </c:pt>
                      <c:pt idx="24">
                        <c:v>21.164772303534971</c:v>
                      </c:pt>
                      <c:pt idx="25">
                        <c:v>20.118588474525172</c:v>
                      </c:pt>
                      <c:pt idx="26">
                        <c:v>19.072404645515388</c:v>
                      </c:pt>
                      <c:pt idx="27">
                        <c:v>18.026220816505582</c:v>
                      </c:pt>
                      <c:pt idx="28">
                        <c:v>16.980036987495779</c:v>
                      </c:pt>
                      <c:pt idx="29">
                        <c:v>15.933853158485999</c:v>
                      </c:pt>
                      <c:pt idx="30">
                        <c:v>14.887669329476189</c:v>
                      </c:pt>
                      <c:pt idx="31">
                        <c:v>13.841485500466396</c:v>
                      </c:pt>
                      <c:pt idx="32">
                        <c:v>12.795301671456588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D9B-4696-B1BC-ED8DCA6E36D5}"/>
                  </c:ext>
                </c:extLst>
              </c15:ser>
            </c15:filteredScatterSeries>
          </c:ext>
        </c:extLst>
      </c:scatterChart>
      <c:valAx>
        <c:axId val="559579727"/>
        <c:scaling>
          <c:orientation val="minMax"/>
          <c:max val="2030"/>
          <c:min val="201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109423"/>
        <c:crosses val="autoZero"/>
        <c:crossBetween val="midCat"/>
        <c:majorUnit val="1"/>
      </c:valAx>
      <c:valAx>
        <c:axId val="795109423"/>
        <c:scaling>
          <c:orientation val="minMax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rate of GHG emissions 
(Mt CO</a:t>
                </a:r>
                <a:r>
                  <a:rPr lang="en-US" baseline="-25000"/>
                  <a:t>2</a:t>
                </a:r>
                <a:r>
                  <a:rPr lang="en-US"/>
                  <a:t>eq GWP</a:t>
                </a:r>
                <a:r>
                  <a:rPr lang="en-US" baseline="-25000"/>
                  <a:t>100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79727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471487</xdr:colOff>
      <xdr:row>99</xdr:row>
      <xdr:rowOff>66675</xdr:rowOff>
    </xdr:from>
    <xdr:to>
      <xdr:col>23</xdr:col>
      <xdr:colOff>17463</xdr:colOff>
      <xdr:row>117</xdr:row>
      <xdr:rowOff>77788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523874</xdr:colOff>
      <xdr:row>97</xdr:row>
      <xdr:rowOff>142876</xdr:rowOff>
    </xdr:from>
    <xdr:to>
      <xdr:col>33</xdr:col>
      <xdr:colOff>460375</xdr:colOff>
      <xdr:row>115</xdr:row>
      <xdr:rowOff>157164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2154AEA-17B4-4A2A-8D56-D8DD1CA0C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0</xdr:colOff>
      <xdr:row>118</xdr:row>
      <xdr:rowOff>0</xdr:rowOff>
    </xdr:from>
    <xdr:to>
      <xdr:col>40</xdr:col>
      <xdr:colOff>544513</xdr:colOff>
      <xdr:row>147</xdr:row>
      <xdr:rowOff>11113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4866E0A-DF9E-4E2A-B4C6-201E2FF87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166686</xdr:colOff>
      <xdr:row>97</xdr:row>
      <xdr:rowOff>103188</xdr:rowOff>
    </xdr:from>
    <xdr:to>
      <xdr:col>43</xdr:col>
      <xdr:colOff>366711</xdr:colOff>
      <xdr:row>115</xdr:row>
      <xdr:rowOff>122238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7546B180-7A94-4C8C-BE6B-A8F6F4215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130</xdr:col>
      <xdr:colOff>92075</xdr:colOff>
      <xdr:row>17</xdr:row>
      <xdr:rowOff>7937</xdr:rowOff>
    </xdr:from>
    <xdr:to>
      <xdr:col>137</xdr:col>
      <xdr:colOff>396875</xdr:colOff>
      <xdr:row>32</xdr:row>
      <xdr:rowOff>30162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7E325F2-9B22-431F-B722-6D66F43CF6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119</xdr:col>
      <xdr:colOff>564092</xdr:colOff>
      <xdr:row>17</xdr:row>
      <xdr:rowOff>36511</xdr:rowOff>
    </xdr:from>
    <xdr:to>
      <xdr:col>129</xdr:col>
      <xdr:colOff>349250</xdr:colOff>
      <xdr:row>36</xdr:row>
      <xdr:rowOff>148165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32CF220-0F78-4AB5-8267-9C464AC2D2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582614</xdr:colOff>
      <xdr:row>95</xdr:row>
      <xdr:rowOff>137584</xdr:rowOff>
    </xdr:from>
    <xdr:to>
      <xdr:col>12</xdr:col>
      <xdr:colOff>95251</xdr:colOff>
      <xdr:row>124</xdr:row>
      <xdr:rowOff>83347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19DEFC9-A06E-446E-ACEB-890A2650D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147071</xdr:colOff>
      <xdr:row>96</xdr:row>
      <xdr:rowOff>135560</xdr:rowOff>
    </xdr:from>
    <xdr:to>
      <xdr:col>54</xdr:col>
      <xdr:colOff>227353</xdr:colOff>
      <xdr:row>120</xdr:row>
      <xdr:rowOff>176440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0628BF-6887-4000-A1B2-ECE7BBE1D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144</xdr:col>
      <xdr:colOff>583140</xdr:colOff>
      <xdr:row>57</xdr:row>
      <xdr:rowOff>134408</xdr:rowOff>
    </xdr:from>
    <xdr:to>
      <xdr:col>156</xdr:col>
      <xdr:colOff>381000</xdr:colOff>
      <xdr:row>84</xdr:row>
      <xdr:rowOff>84667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2C5A4C-5C84-46EB-B72C-D88D1E887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585333</xdr:colOff>
      <xdr:row>92</xdr:row>
      <xdr:rowOff>40595</xdr:rowOff>
    </xdr:from>
    <xdr:to>
      <xdr:col>8</xdr:col>
      <xdr:colOff>6123</xdr:colOff>
      <xdr:row>107</xdr:row>
      <xdr:rowOff>85045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69386C-3AA9-4828-B6B1-DE56970E6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107043</xdr:colOff>
      <xdr:row>92</xdr:row>
      <xdr:rowOff>10887</xdr:rowOff>
    </xdr:from>
    <xdr:to>
      <xdr:col>16</xdr:col>
      <xdr:colOff>573768</xdr:colOff>
      <xdr:row>107</xdr:row>
      <xdr:rowOff>64862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CEAC97-4AC1-4844-84E8-4F9FA7397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196849</xdr:colOff>
      <xdr:row>108</xdr:row>
      <xdr:rowOff>125640</xdr:rowOff>
    </xdr:from>
    <xdr:to>
      <xdr:col>16</xdr:col>
      <xdr:colOff>544285</xdr:colOff>
      <xdr:row>125</xdr:row>
      <xdr:rowOff>13606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47B66D4-8C0A-49C1-B76E-F0CC42BDA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65087</xdr:colOff>
      <xdr:row>95</xdr:row>
      <xdr:rowOff>26987</xdr:rowOff>
    </xdr:from>
    <xdr:to>
      <xdr:col>8</xdr:col>
      <xdr:colOff>101373</xdr:colOff>
      <xdr:row>110</xdr:row>
      <xdr:rowOff>71437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231322</xdr:colOff>
      <xdr:row>95</xdr:row>
      <xdr:rowOff>7711</xdr:rowOff>
    </xdr:from>
    <xdr:to>
      <xdr:col>15</xdr:col>
      <xdr:colOff>214312</xdr:colOff>
      <xdr:row>110</xdr:row>
      <xdr:rowOff>11906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35718</xdr:colOff>
      <xdr:row>94</xdr:row>
      <xdr:rowOff>174738</xdr:rowOff>
    </xdr:from>
    <xdr:to>
      <xdr:col>23</xdr:col>
      <xdr:colOff>399482</xdr:colOff>
      <xdr:row>110</xdr:row>
      <xdr:rowOff>40594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8</xdr:col>
      <xdr:colOff>36286</xdr:colOff>
      <xdr:row>128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EB64E5-E2F1-4C5A-BAC7-06FB9710D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93</xdr:row>
      <xdr:rowOff>20183</xdr:rowOff>
    </xdr:from>
    <xdr:to>
      <xdr:col>7</xdr:col>
      <xdr:colOff>359455</xdr:colOff>
      <xdr:row>108</xdr:row>
      <xdr:rowOff>58283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555625</xdr:colOff>
      <xdr:row>93</xdr:row>
      <xdr:rowOff>7712</xdr:rowOff>
    </xdr:from>
    <xdr:to>
      <xdr:col>16</xdr:col>
      <xdr:colOff>141742</xdr:colOff>
      <xdr:row>108</xdr:row>
      <xdr:rowOff>58511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387804</xdr:colOff>
      <xdr:row>93</xdr:row>
      <xdr:rowOff>64180</xdr:rowOff>
    </xdr:from>
    <xdr:to>
      <xdr:col>23</xdr:col>
      <xdr:colOff>884690</xdr:colOff>
      <xdr:row>108</xdr:row>
      <xdr:rowOff>101372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500062</xdr:colOff>
      <xdr:row>94</xdr:row>
      <xdr:rowOff>107155</xdr:rowOff>
    </xdr:from>
    <xdr:to>
      <xdr:col>7</xdr:col>
      <xdr:colOff>787399</xdr:colOff>
      <xdr:row>109</xdr:row>
      <xdr:rowOff>154780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793749</xdr:colOff>
      <xdr:row>94</xdr:row>
      <xdr:rowOff>103981</xdr:rowOff>
    </xdr:from>
    <xdr:to>
      <xdr:col>15</xdr:col>
      <xdr:colOff>331786</xdr:colOff>
      <xdr:row>109</xdr:row>
      <xdr:rowOff>145256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539749</xdr:colOff>
      <xdr:row>94</xdr:row>
      <xdr:rowOff>31749</xdr:rowOff>
    </xdr:from>
    <xdr:to>
      <xdr:col>23</xdr:col>
      <xdr:colOff>747712</xdr:colOff>
      <xdr:row>109</xdr:row>
      <xdr:rowOff>80168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517525</xdr:colOff>
      <xdr:row>91</xdr:row>
      <xdr:rowOff>146050</xdr:rowOff>
    </xdr:from>
    <xdr:to>
      <xdr:col>7</xdr:col>
      <xdr:colOff>834231</xdr:colOff>
      <xdr:row>107</xdr:row>
      <xdr:rowOff>8731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91</xdr:row>
      <xdr:rowOff>133350</xdr:rowOff>
    </xdr:from>
    <xdr:to>
      <xdr:col>14</xdr:col>
      <xdr:colOff>420688</xdr:colOff>
      <xdr:row>107</xdr:row>
      <xdr:rowOff>2381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109</xdr:row>
      <xdr:rowOff>89693</xdr:rowOff>
    </xdr:from>
    <xdr:to>
      <xdr:col>14</xdr:col>
      <xdr:colOff>490538</xdr:colOff>
      <xdr:row>124</xdr:row>
      <xdr:rowOff>137318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172244</xdr:colOff>
      <xdr:row>95</xdr:row>
      <xdr:rowOff>3174</xdr:rowOff>
    </xdr:from>
    <xdr:to>
      <xdr:col>7</xdr:col>
      <xdr:colOff>488950</xdr:colOff>
      <xdr:row>110</xdr:row>
      <xdr:rowOff>44449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573088</xdr:colOff>
      <xdr:row>95</xdr:row>
      <xdr:rowOff>14287</xdr:rowOff>
    </xdr:from>
    <xdr:to>
      <xdr:col>14</xdr:col>
      <xdr:colOff>87313</xdr:colOff>
      <xdr:row>110</xdr:row>
      <xdr:rowOff>61912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83344</xdr:colOff>
      <xdr:row>110</xdr:row>
      <xdr:rowOff>77787</xdr:rowOff>
    </xdr:from>
    <xdr:to>
      <xdr:col>10</xdr:col>
      <xdr:colOff>728663</xdr:colOff>
      <xdr:row>125</xdr:row>
      <xdr:rowOff>125412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3</xdr:row>
      <xdr:rowOff>19049</xdr:rowOff>
    </xdr:from>
    <xdr:ext cx="1514475" cy="12979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80F77B-CD9B-4AA0-8448-2CCF6F1A6168}"/>
            </a:ext>
          </a:extLst>
        </xdr:cNvPr>
        <xdr:cNvSpPr txBox="1"/>
      </xdr:nvSpPr>
      <xdr:spPr>
        <a:xfrm>
          <a:off x="57150" y="561974"/>
          <a:ext cx="1514475" cy="12979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IE" sz="1100"/>
            <a:t>Goblin model run to achieve</a:t>
          </a:r>
          <a:r>
            <a:rPr lang="en-IE" sz="1100" baseline="0"/>
            <a:t> 51% emissions reduction, while offsetting the increse in net emissions projected by the WAM scenario.</a:t>
          </a:r>
          <a:endParaRPr lang="en-IE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288925</xdr:colOff>
      <xdr:row>145</xdr:row>
      <xdr:rowOff>19050</xdr:rowOff>
    </xdr:from>
    <xdr:to>
      <xdr:col>30</xdr:col>
      <xdr:colOff>466725</xdr:colOff>
      <xdr:row>163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A7A0B-7471-4FF2-9C0E-373BCE5E2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42"/>
  <sheetViews>
    <sheetView tabSelected="1" topLeftCell="A5" zoomScale="80" zoomScaleNormal="80" workbookViewId="0">
      <selection activeCell="B8" sqref="B8"/>
    </sheetView>
  </sheetViews>
  <sheetFormatPr defaultRowHeight="14.5" x14ac:dyDescent="0.35"/>
  <cols>
    <col min="1" max="1" width="40.26953125" customWidth="1"/>
    <col min="2" max="2" width="12.1796875" customWidth="1"/>
    <col min="3" max="4" width="10.81640625" customWidth="1"/>
    <col min="5" max="5" width="12" customWidth="1"/>
    <col min="7" max="7" width="11.81640625" bestFit="1" customWidth="1"/>
    <col min="9" max="9" width="11.1796875" customWidth="1"/>
    <col min="10" max="10" width="9.54296875" customWidth="1"/>
    <col min="15" max="15" width="13.26953125" customWidth="1"/>
    <col min="16" max="16" width="17.36328125" customWidth="1"/>
    <col min="24" max="24" width="12.7265625" customWidth="1"/>
  </cols>
  <sheetData>
    <row r="3" spans="1:19" ht="28.5" customHeight="1" x14ac:dyDescent="0.75">
      <c r="A3" s="75"/>
      <c r="B3" s="121" t="s">
        <v>246</v>
      </c>
      <c r="C3" s="81"/>
      <c r="E3" s="3"/>
      <c r="G3" s="81"/>
      <c r="O3" s="121" t="s">
        <v>354</v>
      </c>
    </row>
    <row r="4" spans="1:19" ht="43" customHeight="1" x14ac:dyDescent="0.55000000000000004">
      <c r="A4" s="193" t="s">
        <v>352</v>
      </c>
      <c r="B4" s="3"/>
      <c r="C4" s="81"/>
      <c r="E4" s="88"/>
      <c r="G4" s="81"/>
    </row>
    <row r="5" spans="1:19" ht="43.5" customHeight="1" x14ac:dyDescent="0.55000000000000004">
      <c r="A5" s="194" t="s">
        <v>353</v>
      </c>
      <c r="B5" s="3"/>
      <c r="C5" s="81"/>
      <c r="E5" s="88"/>
      <c r="G5" s="81"/>
    </row>
    <row r="6" spans="1:19" ht="37.5" x14ac:dyDescent="0.5">
      <c r="A6" s="200" t="s">
        <v>250</v>
      </c>
      <c r="B6" s="202" t="s">
        <v>251</v>
      </c>
      <c r="C6" t="s">
        <v>357</v>
      </c>
    </row>
    <row r="7" spans="1:19" ht="37.5" x14ac:dyDescent="0.5">
      <c r="A7" s="200" t="s">
        <v>248</v>
      </c>
      <c r="B7" s="202" t="s">
        <v>249</v>
      </c>
      <c r="C7" t="s">
        <v>357</v>
      </c>
    </row>
    <row r="8" spans="1:19" x14ac:dyDescent="0.35">
      <c r="A8" s="75"/>
      <c r="I8" s="2" t="s">
        <v>346</v>
      </c>
    </row>
    <row r="9" spans="1:19" ht="64" customHeight="1" x14ac:dyDescent="0.35">
      <c r="A9" t="s">
        <v>341</v>
      </c>
      <c r="B9" s="95" t="s">
        <v>342</v>
      </c>
      <c r="C9" s="132" t="s">
        <v>351</v>
      </c>
      <c r="D9" s="75" t="s">
        <v>343</v>
      </c>
      <c r="E9" s="75" t="s">
        <v>344</v>
      </c>
      <c r="F9" s="75" t="s">
        <v>345</v>
      </c>
      <c r="G9" s="2"/>
      <c r="H9" s="2"/>
      <c r="I9" s="75" t="str">
        <f>B9</f>
        <v>CO2 excluding LULUCF</v>
      </c>
      <c r="J9" s="75" t="str">
        <f t="shared" ref="J9:M9" si="0">C9</f>
        <v>CH4 excluding LULUCF</v>
      </c>
      <c r="K9" s="75" t="str">
        <f t="shared" si="0"/>
        <v>N2O excluding LULUCF</v>
      </c>
      <c r="L9" s="75" t="str">
        <f t="shared" si="0"/>
        <v>Other gases (F-gases)</v>
      </c>
      <c r="M9" s="75" t="str">
        <f t="shared" si="0"/>
        <v>LULUCF (all gases)</v>
      </c>
      <c r="N9" s="75"/>
      <c r="O9" s="75" t="s">
        <v>230</v>
      </c>
      <c r="Q9" t="s">
        <v>253</v>
      </c>
      <c r="R9" t="s">
        <v>254</v>
      </c>
      <c r="S9" t="s">
        <v>255</v>
      </c>
    </row>
    <row r="10" spans="1:19" x14ac:dyDescent="0.35">
      <c r="A10" s="157" t="str">
        <f>CONCATENATE("E",TEXT(B10,"%0"),"-A",TEXT(D10,"%0"))</f>
        <v>E%51-A%51</v>
      </c>
      <c r="B10" s="153">
        <v>0.51</v>
      </c>
      <c r="C10" s="154">
        <v>0.51</v>
      </c>
      <c r="D10" s="154">
        <f>C10</f>
        <v>0.51</v>
      </c>
      <c r="E10" s="154">
        <f>B10</f>
        <v>0.51</v>
      </c>
      <c r="F10" s="153">
        <v>0.51</v>
      </c>
      <c r="G10" s="2"/>
      <c r="H10" s="2"/>
      <c r="I10" s="101" t="s">
        <v>347</v>
      </c>
      <c r="J10" s="120" t="s">
        <v>348</v>
      </c>
      <c r="K10" s="120" t="s">
        <v>348</v>
      </c>
      <c r="L10" s="120" t="s">
        <v>348</v>
      </c>
      <c r="M10" s="101" t="s">
        <v>349</v>
      </c>
      <c r="O10" s="3">
        <f>'Scenario 51-51%'!$K$60</f>
        <v>0.50980614010423331</v>
      </c>
      <c r="Q10" s="109">
        <f>SUM(Q22:Q26)</f>
        <v>294.79979576368282</v>
      </c>
      <c r="R10" s="109">
        <f>SUM(Q27:Q31)</f>
        <v>199.96375276248429</v>
      </c>
      <c r="S10" s="109">
        <f>SUM(Q32:Q36)</f>
        <v>148.73126413008072</v>
      </c>
    </row>
    <row r="11" spans="1:19" x14ac:dyDescent="0.35">
      <c r="A11" s="158" t="str">
        <f t="shared" ref="A11:A14" si="1">CONCATENATE("E",TEXT(B11,"%0"),"-A",TEXT(D11,"%0"))</f>
        <v>E%57-A%40</v>
      </c>
      <c r="B11" s="153">
        <v>0.56999999999999995</v>
      </c>
      <c r="C11" s="154">
        <v>0.4</v>
      </c>
      <c r="D11" s="154">
        <f>C11</f>
        <v>0.4</v>
      </c>
      <c r="E11" s="154">
        <f>B11</f>
        <v>0.56999999999999995</v>
      </c>
      <c r="F11" s="153">
        <v>0.51</v>
      </c>
      <c r="H11" s="81"/>
      <c r="I11" s="101" t="s">
        <v>347</v>
      </c>
      <c r="J11" s="120" t="s">
        <v>348</v>
      </c>
      <c r="K11" s="120" t="s">
        <v>348</v>
      </c>
      <c r="L11" s="120" t="s">
        <v>348</v>
      </c>
      <c r="M11" s="101" t="s">
        <v>349</v>
      </c>
      <c r="O11" s="3">
        <f>'Scenario 57-40%'!K60</f>
        <v>0.50736537288622885</v>
      </c>
      <c r="Q11" s="201">
        <f>SUM(R22:R26)</f>
        <v>295.91073133648916</v>
      </c>
      <c r="R11" s="201">
        <f>SUM(R27:R31)</f>
        <v>199.9094843786732</v>
      </c>
      <c r="S11" s="201">
        <f>SUM(R32:R36)</f>
        <v>150.83874714844163</v>
      </c>
    </row>
    <row r="12" spans="1:19" x14ac:dyDescent="0.35">
      <c r="A12" s="159" t="str">
        <f t="shared" si="1"/>
        <v>E%61-A%33</v>
      </c>
      <c r="B12" s="153">
        <v>0.61</v>
      </c>
      <c r="C12" s="154">
        <v>0.33</v>
      </c>
      <c r="D12" s="154">
        <f>C12</f>
        <v>0.33</v>
      </c>
      <c r="E12" s="154">
        <f>B12</f>
        <v>0.61</v>
      </c>
      <c r="F12" s="153">
        <v>0.51</v>
      </c>
      <c r="H12" s="81"/>
      <c r="I12" s="101" t="s">
        <v>347</v>
      </c>
      <c r="J12" s="120" t="s">
        <v>348</v>
      </c>
      <c r="K12" s="120" t="s">
        <v>348</v>
      </c>
      <c r="L12" s="120" t="s">
        <v>348</v>
      </c>
      <c r="M12" s="101" t="s">
        <v>349</v>
      </c>
      <c r="O12" s="3">
        <f>'Scenario 61-33%'!K60</f>
        <v>0.50687085690430211</v>
      </c>
      <c r="Q12" s="177">
        <f>SUM(S22:S26)</f>
        <v>296.46310500226218</v>
      </c>
      <c r="R12" s="177">
        <f>SUM(S27:S31)</f>
        <v>199.37390652766783</v>
      </c>
      <c r="S12" s="177">
        <f>SUM(S32:S36)</f>
        <v>151.87250897216518</v>
      </c>
    </row>
    <row r="13" spans="1:19" x14ac:dyDescent="0.35">
      <c r="A13" s="160" t="str">
        <f t="shared" si="1"/>
        <v>E%65-A%26</v>
      </c>
      <c r="B13" s="153">
        <v>0.65</v>
      </c>
      <c r="C13" s="154">
        <v>0.26</v>
      </c>
      <c r="D13" s="154">
        <f>C13</f>
        <v>0.26</v>
      </c>
      <c r="E13" s="154">
        <f>B13</f>
        <v>0.65</v>
      </c>
      <c r="F13" s="153">
        <v>0.51</v>
      </c>
      <c r="G13" s="2"/>
      <c r="H13" s="2"/>
      <c r="I13" s="101" t="s">
        <v>347</v>
      </c>
      <c r="J13" s="120" t="s">
        <v>348</v>
      </c>
      <c r="K13" s="120" t="s">
        <v>348</v>
      </c>
      <c r="L13" s="120" t="s">
        <v>348</v>
      </c>
      <c r="M13" s="101" t="s">
        <v>349</v>
      </c>
      <c r="O13" s="3">
        <f>'Scenario 65-25%'!K60</f>
        <v>0.50639059052509239</v>
      </c>
      <c r="Q13" s="182">
        <f>SUM(T22:T26)</f>
        <v>296.91521791612416</v>
      </c>
      <c r="R13" s="182">
        <f>SUM(T27:T31)</f>
        <v>198.65532846929113</v>
      </c>
      <c r="S13" s="182">
        <f>SUM(T32:T36)</f>
        <v>152.90213382311572</v>
      </c>
    </row>
    <row r="14" spans="1:19" x14ac:dyDescent="0.35">
      <c r="A14" s="161" t="str">
        <f t="shared" si="1"/>
        <v>E%69-A%19</v>
      </c>
      <c r="B14" s="154">
        <v>0.69</v>
      </c>
      <c r="C14" s="154">
        <v>0.185</v>
      </c>
      <c r="D14" s="154">
        <f t="shared" ref="D14" si="2">C14</f>
        <v>0.185</v>
      </c>
      <c r="E14" s="154">
        <f t="shared" ref="E14" si="3">B14</f>
        <v>0.69</v>
      </c>
      <c r="F14" s="153">
        <v>0.51</v>
      </c>
      <c r="G14" s="2"/>
      <c r="H14" s="2"/>
      <c r="I14" s="120" t="s">
        <v>348</v>
      </c>
      <c r="J14" s="120" t="s">
        <v>348</v>
      </c>
      <c r="K14" s="120" t="s">
        <v>348</v>
      </c>
      <c r="L14" s="120" t="s">
        <v>348</v>
      </c>
      <c r="M14" s="101" t="s">
        <v>349</v>
      </c>
      <c r="O14" s="3">
        <f>'Scenario 69-19%'!K60</f>
        <v>0.5147156753923019</v>
      </c>
      <c r="Q14" s="187">
        <f>SUM(U22:U26)</f>
        <v>291.14861930553627</v>
      </c>
      <c r="R14" s="187">
        <f>SUM(U27:U31)</f>
        <v>201.14605180791284</v>
      </c>
      <c r="S14" s="187">
        <f>SUM(U32:U36)</f>
        <v>151.43895694070352</v>
      </c>
    </row>
    <row r="15" spans="1:19" x14ac:dyDescent="0.35">
      <c r="B15" s="3"/>
      <c r="C15" s="3"/>
      <c r="D15" s="3"/>
      <c r="E15" s="3"/>
      <c r="F15" s="3"/>
      <c r="G15" s="2"/>
      <c r="H15" s="2"/>
      <c r="I15" s="133"/>
      <c r="J15" s="133"/>
      <c r="K15" s="133"/>
      <c r="L15" s="133"/>
      <c r="M15" s="133"/>
      <c r="Q15" s="150"/>
      <c r="R15" s="156"/>
      <c r="S15" s="148"/>
    </row>
    <row r="16" spans="1:19" x14ac:dyDescent="0.35">
      <c r="B16" s="86"/>
      <c r="C16" s="86"/>
      <c r="D16" s="86"/>
      <c r="E16" s="86"/>
      <c r="G16" s="2"/>
      <c r="H16" s="2"/>
      <c r="I16" s="2"/>
      <c r="J16" s="2"/>
      <c r="K16" s="2"/>
      <c r="L16" s="2"/>
      <c r="M16" s="2"/>
      <c r="Q16" s="152">
        <f>AVERAGE(Q10:Q14)</f>
        <v>295.04749386481888</v>
      </c>
      <c r="R16" s="155">
        <f t="shared" ref="R16:S16" si="4">AVERAGE(R10:R14)</f>
        <v>199.80970478920585</v>
      </c>
      <c r="S16" s="149">
        <f t="shared" si="4"/>
        <v>151.15672220290134</v>
      </c>
    </row>
    <row r="17" spans="2:28" x14ac:dyDescent="0.35">
      <c r="B17" s="86"/>
      <c r="C17" s="86"/>
      <c r="G17" s="86"/>
      <c r="H17" s="86"/>
      <c r="I17" s="86"/>
      <c r="J17" s="86"/>
      <c r="K17" s="86"/>
      <c r="L17" s="86"/>
      <c r="M17" s="86"/>
    </row>
    <row r="18" spans="2:28" ht="47.5" customHeight="1" x14ac:dyDescent="0.35">
      <c r="H18" s="1"/>
      <c r="I18" s="2"/>
      <c r="P18" t="str">
        <f>GasesSummary!A14</f>
        <v>Year</v>
      </c>
      <c r="Q18" s="195" t="str">
        <f>GasesSummary!B14</f>
        <v>E51%-A51%</v>
      </c>
      <c r="R18" s="196" t="str">
        <f>GasesSummary!C14</f>
        <v>E57%-A40%</v>
      </c>
      <c r="S18" s="197" t="str">
        <f>GasesSummary!D14</f>
        <v>E61%-A33%</v>
      </c>
      <c r="T18" s="198" t="str">
        <f>GasesSummary!E14</f>
        <v>E65%-A26%</v>
      </c>
      <c r="U18" s="199" t="str">
        <f>GasesSummary!F14</f>
        <v>E69%-A19%</v>
      </c>
      <c r="V18" t="str">
        <f>GasesSummary!G14</f>
        <v>Average</v>
      </c>
      <c r="X18" s="75" t="s">
        <v>356</v>
      </c>
    </row>
    <row r="19" spans="2:28" x14ac:dyDescent="0.35">
      <c r="H19" s="1"/>
      <c r="I19" s="2"/>
      <c r="P19">
        <f>GasesSummary!A15</f>
        <v>2018</v>
      </c>
      <c r="Q19" s="162">
        <f>GasesSummary!B15</f>
        <v>68.311052432169276</v>
      </c>
      <c r="R19" s="79">
        <f>GasesSummary!C15</f>
        <v>68.311052432169276</v>
      </c>
      <c r="S19" s="173">
        <f>GasesSummary!D15</f>
        <v>68.311052432169276</v>
      </c>
      <c r="T19" s="179">
        <f>GasesSummary!E15</f>
        <v>68.311052432169276</v>
      </c>
      <c r="U19" s="184">
        <f>GasesSummary!F15</f>
        <v>68.311052432169276</v>
      </c>
      <c r="V19" s="2">
        <f>GasesSummary!G15</f>
        <v>68.311052432169276</v>
      </c>
      <c r="X19" s="3"/>
    </row>
    <row r="20" spans="2:28" x14ac:dyDescent="0.35">
      <c r="H20" s="1"/>
      <c r="I20" s="2"/>
      <c r="P20">
        <f>GasesSummary!A16</f>
        <v>2019</v>
      </c>
      <c r="Q20" s="162">
        <f>GasesSummary!B16</f>
        <v>66.292618265952399</v>
      </c>
      <c r="R20" s="79">
        <f>GasesSummary!C16</f>
        <v>66.292618265952399</v>
      </c>
      <c r="S20" s="173">
        <f>GasesSummary!D16</f>
        <v>66.292618265952399</v>
      </c>
      <c r="T20" s="179">
        <f>GasesSummary!E16</f>
        <v>66.292618265952399</v>
      </c>
      <c r="U20" s="184">
        <f>GasesSummary!F16</f>
        <v>66.292618265952399</v>
      </c>
      <c r="V20" s="2">
        <f>GasesSummary!G16</f>
        <v>66.292618265952399</v>
      </c>
      <c r="X20" s="3"/>
      <c r="Y20" s="134"/>
      <c r="Z20" s="134"/>
      <c r="AA20" s="134"/>
    </row>
    <row r="21" spans="2:28" x14ac:dyDescent="0.35">
      <c r="C21" s="86"/>
      <c r="E21" s="86"/>
      <c r="H21" s="1"/>
      <c r="I21" s="2"/>
      <c r="P21">
        <f>GasesSummary!A17</f>
        <v>2020</v>
      </c>
      <c r="Q21" s="162">
        <f>GasesSummary!B17</f>
        <v>60.765480652382145</v>
      </c>
      <c r="R21" s="79">
        <f>GasesSummary!C17</f>
        <v>60.765480652382145</v>
      </c>
      <c r="S21" s="173">
        <f>GasesSummary!D17</f>
        <v>60.765480652382145</v>
      </c>
      <c r="T21" s="179">
        <f>GasesSummary!E17</f>
        <v>60.765480652382145</v>
      </c>
      <c r="U21" s="184">
        <f>GasesSummary!F17</f>
        <v>60.765480652382145</v>
      </c>
      <c r="V21" s="2">
        <f>GasesSummary!G17</f>
        <v>60.765480652382145</v>
      </c>
      <c r="X21" s="3">
        <f>1-V21/V$19</f>
        <v>0.11045901814028769</v>
      </c>
      <c r="Y21" s="134"/>
      <c r="Z21" s="134"/>
      <c r="AA21" s="134"/>
    </row>
    <row r="22" spans="2:28" x14ac:dyDescent="0.35">
      <c r="C22" s="2"/>
      <c r="E22" s="86"/>
      <c r="P22">
        <f>GasesSummary!A18</f>
        <v>2021</v>
      </c>
      <c r="Q22" s="162">
        <f>GasesSummary!B18</f>
        <v>62.880982109298884</v>
      </c>
      <c r="R22" s="79">
        <f>GasesSummary!C18</f>
        <v>62.875356453202762</v>
      </c>
      <c r="S22" s="173">
        <f>GasesSummary!D18</f>
        <v>62.871606015805426</v>
      </c>
      <c r="T22" s="179">
        <f>GasesSummary!E18</f>
        <v>62.867855578408019</v>
      </c>
      <c r="U22" s="184">
        <f>GasesSummary!F18</f>
        <v>65.243534853898723</v>
      </c>
      <c r="V22" s="2">
        <f>GasesSummary!G18</f>
        <v>63.347867002122754</v>
      </c>
      <c r="W22" s="203"/>
      <c r="X22" s="204">
        <f>1-V22/V$19</f>
        <v>7.2655672154587458E-2</v>
      </c>
      <c r="Y22" s="143"/>
      <c r="Z22" s="134"/>
      <c r="AA22" s="140"/>
      <c r="AB22" s="81"/>
    </row>
    <row r="23" spans="2:28" x14ac:dyDescent="0.35">
      <c r="C23" s="2"/>
      <c r="E23" s="86"/>
      <c r="H23" s="86"/>
      <c r="I23" s="86"/>
      <c r="P23">
        <f>GasesSummary!A19</f>
        <v>2022</v>
      </c>
      <c r="Q23" s="162">
        <f>GasesSummary!B19</f>
        <v>61.970554852836258</v>
      </c>
      <c r="R23" s="79">
        <f>GasesSummary!C19</f>
        <v>62.245385238884019</v>
      </c>
      <c r="S23" s="173">
        <f>GasesSummary!D19</f>
        <v>62.419936353878299</v>
      </c>
      <c r="T23" s="179">
        <f>GasesSummary!E19</f>
        <v>62.594487468872614</v>
      </c>
      <c r="U23" s="184">
        <f>GasesSummary!F19</f>
        <v>61.696596909415625</v>
      </c>
      <c r="V23" s="2">
        <f>GasesSummary!G19</f>
        <v>62.185392164777362</v>
      </c>
      <c r="W23" s="203"/>
      <c r="X23" s="204">
        <f t="shared" ref="X23:X36" si="5">1-V23/V$19</f>
        <v>8.9673047761553715E-2</v>
      </c>
      <c r="Y23" s="143"/>
      <c r="Z23" s="143"/>
      <c r="AA23" s="140"/>
      <c r="AB23" s="81"/>
    </row>
    <row r="24" spans="2:28" x14ac:dyDescent="0.35">
      <c r="C24" s="86"/>
      <c r="P24">
        <f>GasesSummary!A20</f>
        <v>2023</v>
      </c>
      <c r="Q24" s="162">
        <f>GasesSummary!B20</f>
        <v>61.670385206634542</v>
      </c>
      <c r="R24" s="79">
        <f>GasesSummary!C20</f>
        <v>62.225671634826185</v>
      </c>
      <c r="S24" s="173">
        <f>GasesSummary!D20</f>
        <v>62.578524302212031</v>
      </c>
      <c r="T24" s="179">
        <f>GasesSummary!E20</f>
        <v>62.931376969597949</v>
      </c>
      <c r="U24" s="184">
        <f>GasesSummary!F20</f>
        <v>58.430550765655759</v>
      </c>
      <c r="V24" s="2">
        <f>GasesSummary!G20</f>
        <v>61.567301775785289</v>
      </c>
      <c r="W24" s="203"/>
      <c r="X24" s="204">
        <f t="shared" si="5"/>
        <v>9.8721223232218769E-2</v>
      </c>
      <c r="Y24" s="143"/>
      <c r="Z24" s="143"/>
      <c r="AA24" s="140"/>
      <c r="AB24" s="81"/>
    </row>
    <row r="25" spans="2:28" x14ac:dyDescent="0.35">
      <c r="C25" s="2"/>
      <c r="P25">
        <f>GasesSummary!A21</f>
        <v>2024</v>
      </c>
      <c r="Q25" s="162">
        <f>GasesSummary!B21</f>
        <v>56.187660637912458</v>
      </c>
      <c r="R25" s="79">
        <f>GasesSummary!C21</f>
        <v>56.432546055724217</v>
      </c>
      <c r="S25" s="173">
        <f>GasesSummary!D21</f>
        <v>56.529561485673824</v>
      </c>
      <c r="T25" s="179">
        <f>GasesSummary!E21</f>
        <v>56.585693890572301</v>
      </c>
      <c r="U25" s="184">
        <f>GasesSummary!F21</f>
        <v>54.667800944999541</v>
      </c>
      <c r="V25" s="2">
        <f>GasesSummary!G21</f>
        <v>56.080652602976478</v>
      </c>
      <c r="W25" s="203"/>
      <c r="X25" s="204">
        <f t="shared" si="5"/>
        <v>0.17903983899731601</v>
      </c>
      <c r="Y25" s="143"/>
      <c r="Z25" s="143"/>
      <c r="AA25" s="140"/>
      <c r="AB25" s="81"/>
    </row>
    <row r="26" spans="2:28" x14ac:dyDescent="0.35">
      <c r="C26" s="2"/>
      <c r="P26">
        <f>GasesSummary!A22</f>
        <v>2025</v>
      </c>
      <c r="Q26" s="162">
        <f>GasesSummary!B22</f>
        <v>52.090212957000716</v>
      </c>
      <c r="R26" s="79">
        <f>GasesSummary!C22</f>
        <v>52.131771953851981</v>
      </c>
      <c r="S26" s="173">
        <f>GasesSummary!D22</f>
        <v>52.063476844692637</v>
      </c>
      <c r="T26" s="179">
        <f>GasesSummary!E22</f>
        <v>51.935804008673315</v>
      </c>
      <c r="U26" s="184">
        <f>GasesSummary!F22</f>
        <v>51.110135831566602</v>
      </c>
      <c r="V26" s="2">
        <f>GasesSummary!G22</f>
        <v>51.866280319157042</v>
      </c>
      <c r="W26" s="203">
        <f>P26</f>
        <v>2025</v>
      </c>
      <c r="X26" s="204">
        <f t="shared" si="5"/>
        <v>0.24073369575650116</v>
      </c>
      <c r="Y26" s="143"/>
      <c r="Z26" s="143"/>
      <c r="AA26" s="140"/>
      <c r="AB26" s="81"/>
    </row>
    <row r="27" spans="2:28" x14ac:dyDescent="0.35">
      <c r="P27">
        <f>GasesSummary!A23</f>
        <v>2026</v>
      </c>
      <c r="Q27" s="162">
        <f>GasesSummary!B23</f>
        <v>47.064766214040688</v>
      </c>
      <c r="R27" s="79">
        <f>GasesSummary!C23</f>
        <v>46.993525488258847</v>
      </c>
      <c r="S27" s="173">
        <f>GasesSummary!D23</f>
        <v>46.835845457942462</v>
      </c>
      <c r="T27" s="179">
        <f>GasesSummary!E23</f>
        <v>46.61586748469113</v>
      </c>
      <c r="U27" s="184">
        <f>GasesSummary!F23</f>
        <v>47.350110608897921</v>
      </c>
      <c r="V27" s="2">
        <f>GasesSummary!G23</f>
        <v>46.972023050766211</v>
      </c>
      <c r="W27" s="91"/>
      <c r="X27" s="205">
        <f t="shared" si="5"/>
        <v>0.31238033409882027</v>
      </c>
      <c r="Y27" s="143"/>
      <c r="Z27" s="143"/>
      <c r="AA27" s="140"/>
      <c r="AB27" s="81"/>
    </row>
    <row r="28" spans="2:28" x14ac:dyDescent="0.35">
      <c r="P28">
        <f>GasesSummary!A24</f>
        <v>2027</v>
      </c>
      <c r="Q28" s="162">
        <f>GasesSummary!B24</f>
        <v>43.484423574830316</v>
      </c>
      <c r="R28" s="79">
        <f>GasesSummary!C24</f>
        <v>43.380202365800841</v>
      </c>
      <c r="S28" s="173">
        <f>GasesSummary!D24</f>
        <v>43.198355573337437</v>
      </c>
      <c r="T28" s="179">
        <f>GasesSummary!E24</f>
        <v>42.961024675447646</v>
      </c>
      <c r="U28" s="184">
        <f>GasesSummary!F24</f>
        <v>43.812180108333692</v>
      </c>
      <c r="V28" s="2">
        <f>GasesSummary!G24</f>
        <v>43.367237259549981</v>
      </c>
      <c r="W28" s="91"/>
      <c r="X28" s="205">
        <f t="shared" si="5"/>
        <v>0.36515050324232257</v>
      </c>
      <c r="Y28" s="143"/>
      <c r="Z28" s="143"/>
      <c r="AA28" s="140"/>
      <c r="AB28" s="81"/>
    </row>
    <row r="29" spans="2:28" x14ac:dyDescent="0.35">
      <c r="P29">
        <f>GasesSummary!A25</f>
        <v>2028</v>
      </c>
      <c r="Q29" s="162">
        <f>GasesSummary!B25</f>
        <v>39.67650149941278</v>
      </c>
      <c r="R29" s="79">
        <f>GasesSummary!C25</f>
        <v>39.607438182220619</v>
      </c>
      <c r="S29" s="173">
        <f>GasesSummary!D25</f>
        <v>39.454961922320095</v>
      </c>
      <c r="T29" s="179">
        <f>GasesSummary!E25</f>
        <v>39.261602637368448</v>
      </c>
      <c r="U29" s="184">
        <f>GasesSummary!F25</f>
        <v>40.202244743296504</v>
      </c>
      <c r="V29" s="2">
        <f>GasesSummary!G25</f>
        <v>39.640549796923686</v>
      </c>
      <c r="W29" s="91"/>
      <c r="X29" s="205">
        <f t="shared" si="5"/>
        <v>0.41970518114494715</v>
      </c>
      <c r="Y29" s="143"/>
      <c r="Z29" s="143"/>
      <c r="AA29" s="140"/>
      <c r="AB29" s="81"/>
    </row>
    <row r="30" spans="2:28" x14ac:dyDescent="0.35">
      <c r="P30">
        <f>GasesSummary!A26</f>
        <v>2029</v>
      </c>
      <c r="Q30" s="162">
        <f>GasesSummary!B26</f>
        <v>36.252403008933356</v>
      </c>
      <c r="R30" s="79">
        <f>GasesSummary!C26</f>
        <v>36.275928499721886</v>
      </c>
      <c r="S30" s="173">
        <f>GasesSummary!D26</f>
        <v>36.198572824226929</v>
      </c>
      <c r="T30" s="179">
        <f>GasesSummary!E26</f>
        <v>36.097855420131367</v>
      </c>
      <c r="U30" s="184">
        <f>GasesSummary!F26</f>
        <v>36.631233404598404</v>
      </c>
      <c r="V30" s="2">
        <f>GasesSummary!G26</f>
        <v>36.291198631522391</v>
      </c>
      <c r="W30" s="91"/>
      <c r="X30" s="205">
        <f t="shared" si="5"/>
        <v>0.46873606335433915</v>
      </c>
      <c r="Y30" s="143"/>
      <c r="Z30" s="143"/>
      <c r="AA30" s="140"/>
      <c r="AB30" s="81"/>
    </row>
    <row r="31" spans="2:28" x14ac:dyDescent="0.35">
      <c r="P31">
        <f>GasesSummary!A27</f>
        <v>2030</v>
      </c>
      <c r="Q31" s="162">
        <f>GasesSummary!B27</f>
        <v>33.485658465267157</v>
      </c>
      <c r="R31" s="79">
        <f>GasesSummary!C27</f>
        <v>33.652389842670985</v>
      </c>
      <c r="S31" s="173">
        <f>GasesSummary!D27</f>
        <v>33.686170749840926</v>
      </c>
      <c r="T31" s="179">
        <f>GasesSummary!E27</f>
        <v>33.71897825165253</v>
      </c>
      <c r="U31" s="184">
        <f>GasesSummary!F27</f>
        <v>33.150282942786319</v>
      </c>
      <c r="V31" s="2">
        <f>GasesSummary!G27</f>
        <v>33.538696050443583</v>
      </c>
      <c r="W31" s="91">
        <f>P31</f>
        <v>2030</v>
      </c>
      <c r="X31" s="205">
        <f t="shared" si="5"/>
        <v>0.50902972716243178</v>
      </c>
      <c r="Y31" s="143"/>
      <c r="Z31" s="143"/>
      <c r="AA31" s="140"/>
      <c r="AB31" s="81"/>
    </row>
    <row r="32" spans="2:28" x14ac:dyDescent="0.35">
      <c r="P32">
        <f>GasesSummary!A28</f>
        <v>2031</v>
      </c>
      <c r="Q32" s="162">
        <f>GasesSummary!B28</f>
        <v>32.239189918850144</v>
      </c>
      <c r="R32" s="79">
        <f>GasesSummary!C28</f>
        <v>32.490843038343421</v>
      </c>
      <c r="S32" s="173">
        <f>GasesSummary!D28</f>
        <v>32.582281098038308</v>
      </c>
      <c r="T32" s="179">
        <f>GasesSummary!E28</f>
        <v>32.672794422642738</v>
      </c>
      <c r="U32" s="184">
        <f>GasesSummary!F28</f>
        <v>32.196119091237783</v>
      </c>
      <c r="V32" s="2">
        <f>GasesSummary!G28</f>
        <v>32.436245513822485</v>
      </c>
      <c r="X32" s="3">
        <f t="shared" si="5"/>
        <v>0.52516841186086749</v>
      </c>
      <c r="Y32" s="143"/>
      <c r="Z32" s="134"/>
      <c r="AA32" s="140"/>
      <c r="AB32" s="81"/>
    </row>
    <row r="33" spans="16:28" x14ac:dyDescent="0.35">
      <c r="P33">
        <f>GasesSummary!A29</f>
        <v>2032</v>
      </c>
      <c r="Q33" s="162">
        <f>GasesSummary!B29</f>
        <v>30.992721372433202</v>
      </c>
      <c r="R33" s="79">
        <f>GasesSummary!C29</f>
        <v>31.329296234015878</v>
      </c>
      <c r="S33" s="173">
        <f>GasesSummary!D29</f>
        <v>31.478391446235658</v>
      </c>
      <c r="T33" s="179">
        <f>GasesSummary!E29</f>
        <v>31.626610593632947</v>
      </c>
      <c r="U33" s="184">
        <f>GasesSummary!F29</f>
        <v>31.241955239689243</v>
      </c>
      <c r="V33" s="2">
        <f>GasesSummary!G29</f>
        <v>31.333794977201386</v>
      </c>
      <c r="X33" s="3">
        <f t="shared" si="5"/>
        <v>0.54130709655930342</v>
      </c>
      <c r="Y33" s="143"/>
      <c r="Z33" s="134"/>
      <c r="AA33" s="140"/>
      <c r="AB33" s="81"/>
    </row>
    <row r="34" spans="16:28" x14ac:dyDescent="0.35">
      <c r="P34">
        <f>GasesSummary!A30</f>
        <v>2033</v>
      </c>
      <c r="Q34" s="162">
        <f>GasesSummary!B30</f>
        <v>29.746252826016132</v>
      </c>
      <c r="R34" s="79">
        <f>GasesSummary!C30</f>
        <v>30.167749429688332</v>
      </c>
      <c r="S34" s="173">
        <f>GasesSummary!D30</f>
        <v>30.374501794433037</v>
      </c>
      <c r="T34" s="179">
        <f>GasesSummary!E30</f>
        <v>30.580426764623137</v>
      </c>
      <c r="U34" s="184">
        <f>GasesSummary!F30</f>
        <v>30.2877913881407</v>
      </c>
      <c r="V34" s="2">
        <f>GasesSummary!G30</f>
        <v>30.231344440580266</v>
      </c>
      <c r="X34" s="3">
        <f t="shared" si="5"/>
        <v>0.55744578125773958</v>
      </c>
      <c r="Y34" s="143"/>
      <c r="Z34" s="134"/>
      <c r="AA34" s="140"/>
      <c r="AB34" s="81"/>
    </row>
    <row r="35" spans="16:28" x14ac:dyDescent="0.35">
      <c r="P35">
        <f>GasesSummary!A31</f>
        <v>2034</v>
      </c>
      <c r="Q35" s="162">
        <f>GasesSummary!B31</f>
        <v>28.499784279599115</v>
      </c>
      <c r="R35" s="79">
        <f>GasesSummary!C31</f>
        <v>29.006202625360771</v>
      </c>
      <c r="S35" s="173">
        <f>GasesSummary!D31</f>
        <v>29.270612142630391</v>
      </c>
      <c r="T35" s="179">
        <f>GasesSummary!E31</f>
        <v>29.534242935613339</v>
      </c>
      <c r="U35" s="184">
        <f>GasesSummary!F31</f>
        <v>29.333627536592164</v>
      </c>
      <c r="V35" s="2">
        <f>GasesSummary!G31</f>
        <v>29.12889390395916</v>
      </c>
      <c r="X35" s="3">
        <f t="shared" si="5"/>
        <v>0.57358446595617552</v>
      </c>
      <c r="Y35" s="143"/>
      <c r="Z35" s="134"/>
      <c r="AA35" s="140"/>
      <c r="AB35" s="81"/>
    </row>
    <row r="36" spans="16:28" ht="12.5" customHeight="1" x14ac:dyDescent="0.35">
      <c r="P36">
        <f>GasesSummary!A32</f>
        <v>2035</v>
      </c>
      <c r="Q36" s="162">
        <f>GasesSummary!B32</f>
        <v>27.25331573318212</v>
      </c>
      <c r="R36" s="79">
        <f>GasesSummary!C32</f>
        <v>27.844655821033221</v>
      </c>
      <c r="S36" s="173">
        <f>GasesSummary!D32</f>
        <v>28.166722490827762</v>
      </c>
      <c r="T36" s="179">
        <f>GasesSummary!E32</f>
        <v>28.488059106603551</v>
      </c>
      <c r="U36" s="184">
        <f>GasesSummary!F32</f>
        <v>28.379463685043625</v>
      </c>
      <c r="V36" s="2">
        <f>GasesSummary!G32</f>
        <v>28.026443367338054</v>
      </c>
      <c r="W36">
        <f>P36</f>
        <v>2035</v>
      </c>
      <c r="X36" s="3">
        <f t="shared" si="5"/>
        <v>0.58972315065461145</v>
      </c>
      <c r="Y36" s="143"/>
      <c r="Z36" s="143"/>
      <c r="AA36" s="140"/>
      <c r="AB36" s="81"/>
    </row>
    <row r="37" spans="16:28" ht="27" customHeight="1" x14ac:dyDescent="0.35">
      <c r="X37" s="3"/>
      <c r="Y37" s="134"/>
      <c r="Z37" s="134"/>
      <c r="AA37" s="134"/>
    </row>
    <row r="38" spans="16:28" ht="45.5" customHeight="1" x14ac:dyDescent="0.35">
      <c r="P38" s="75" t="s">
        <v>355</v>
      </c>
      <c r="Q38" s="3">
        <f t="shared" ref="Q38:V38" si="6">1-Q31/Q19</f>
        <v>0.50980614010423331</v>
      </c>
      <c r="R38" s="3">
        <f t="shared" si="6"/>
        <v>0.50736537288622885</v>
      </c>
      <c r="S38" s="3">
        <f t="shared" si="6"/>
        <v>0.50687085690430211</v>
      </c>
      <c r="T38" s="3">
        <f t="shared" si="6"/>
        <v>0.50639059052509239</v>
      </c>
      <c r="U38" s="3">
        <f t="shared" si="6"/>
        <v>0.5147156753923019</v>
      </c>
      <c r="V38" s="3">
        <f t="shared" si="6"/>
        <v>0.50902972716243178</v>
      </c>
      <c r="Y38" s="134"/>
      <c r="Z38" s="134"/>
      <c r="AA38" s="134"/>
    </row>
    <row r="42" spans="16:28" x14ac:dyDescent="0.35">
      <c r="Q42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B92F-B494-4CD1-B2E2-3B1E8876059A}">
  <sheetPr>
    <tabColor rgb="FFFFC000"/>
  </sheetPr>
  <dimension ref="B1:AI63"/>
  <sheetViews>
    <sheetView topLeftCell="A13" workbookViewId="0">
      <selection activeCell="J22" sqref="J22"/>
    </sheetView>
  </sheetViews>
  <sheetFormatPr defaultRowHeight="14.5" x14ac:dyDescent="0.35"/>
  <cols>
    <col min="3" max="7" width="10.36328125" customWidth="1"/>
    <col min="8" max="8" width="18.81640625" customWidth="1"/>
    <col min="9" max="20" width="10.36328125" customWidth="1"/>
  </cols>
  <sheetData>
    <row r="1" spans="2:35" ht="100.5" customHeight="1" x14ac:dyDescent="0.35">
      <c r="B1" s="75" t="s">
        <v>286</v>
      </c>
      <c r="C1" s="75" t="s">
        <v>287</v>
      </c>
      <c r="D1" s="75" t="s">
        <v>288</v>
      </c>
      <c r="E1" s="75" t="s">
        <v>289</v>
      </c>
      <c r="F1" s="75"/>
      <c r="G1" s="75" t="s">
        <v>290</v>
      </c>
      <c r="H1" s="75" t="s">
        <v>287</v>
      </c>
      <c r="I1" s="75" t="s">
        <v>288</v>
      </c>
      <c r="J1" s="75" t="s">
        <v>289</v>
      </c>
      <c r="K1" s="75"/>
      <c r="L1" s="75" t="s">
        <v>3</v>
      </c>
      <c r="M1" s="75" t="s">
        <v>287</v>
      </c>
      <c r="N1" s="75" t="s">
        <v>288</v>
      </c>
      <c r="O1" s="75" t="s">
        <v>289</v>
      </c>
      <c r="P1" s="75">
        <v>28</v>
      </c>
      <c r="Q1" s="75" t="s">
        <v>291</v>
      </c>
      <c r="R1" s="75" t="s">
        <v>287</v>
      </c>
      <c r="S1" s="75" t="s">
        <v>288</v>
      </c>
      <c r="T1" s="75" t="s">
        <v>289</v>
      </c>
      <c r="U1" s="75"/>
      <c r="V1" t="s">
        <v>4</v>
      </c>
      <c r="W1" t="s">
        <v>287</v>
      </c>
      <c r="X1" t="s">
        <v>288</v>
      </c>
      <c r="Y1" t="s">
        <v>289</v>
      </c>
      <c r="Z1">
        <v>265</v>
      </c>
      <c r="AA1" t="s">
        <v>292</v>
      </c>
      <c r="AB1" t="s">
        <v>287</v>
      </c>
      <c r="AC1" t="s">
        <v>288</v>
      </c>
      <c r="AD1" t="s">
        <v>289</v>
      </c>
      <c r="AF1" t="s">
        <v>293</v>
      </c>
      <c r="AG1" t="s">
        <v>287</v>
      </c>
      <c r="AH1" t="s">
        <v>288</v>
      </c>
      <c r="AI1" t="s">
        <v>289</v>
      </c>
    </row>
    <row r="2" spans="2:35" x14ac:dyDescent="0.35">
      <c r="B2">
        <v>0</v>
      </c>
      <c r="C2" t="s">
        <v>271</v>
      </c>
      <c r="D2" t="s">
        <v>271</v>
      </c>
      <c r="E2" t="s">
        <v>271</v>
      </c>
      <c r="G2">
        <v>0</v>
      </c>
      <c r="H2" t="s">
        <v>271</v>
      </c>
      <c r="I2" t="s">
        <v>271</v>
      </c>
      <c r="J2" t="s">
        <v>271</v>
      </c>
      <c r="L2">
        <v>0</v>
      </c>
      <c r="M2" t="s">
        <v>271</v>
      </c>
      <c r="N2" t="s">
        <v>271</v>
      </c>
      <c r="O2" t="s">
        <v>271</v>
      </c>
      <c r="Q2">
        <v>0</v>
      </c>
      <c r="V2">
        <v>0</v>
      </c>
      <c r="W2" t="s">
        <v>271</v>
      </c>
      <c r="X2" t="s">
        <v>271</v>
      </c>
      <c r="Y2" t="s">
        <v>271</v>
      </c>
      <c r="AA2">
        <v>0</v>
      </c>
      <c r="AB2" t="s">
        <v>271</v>
      </c>
      <c r="AC2" t="s">
        <v>271</v>
      </c>
      <c r="AD2" t="s">
        <v>271</v>
      </c>
      <c r="AF2">
        <v>0</v>
      </c>
      <c r="AG2" t="s">
        <v>271</v>
      </c>
      <c r="AH2" t="s">
        <v>271</v>
      </c>
      <c r="AI2" t="s">
        <v>271</v>
      </c>
    </row>
    <row r="3" spans="2:35" x14ac:dyDescent="0.35">
      <c r="B3">
        <v>2019</v>
      </c>
      <c r="C3" s="86">
        <v>60732.053907044261</v>
      </c>
      <c r="D3" s="86">
        <v>65181.660662590708</v>
      </c>
      <c r="E3" s="86">
        <v>4449.6067555464479</v>
      </c>
      <c r="F3" s="86"/>
      <c r="G3" s="86">
        <v>2019</v>
      </c>
      <c r="H3" s="86">
        <v>37275.318574994424</v>
      </c>
      <c r="I3" s="86">
        <v>40895.04176887912</v>
      </c>
      <c r="J3" s="86">
        <v>3619.7231938846935</v>
      </c>
      <c r="K3" s="86"/>
      <c r="L3" s="86">
        <v>2019</v>
      </c>
      <c r="M3" s="86">
        <v>589.22091624152586</v>
      </c>
      <c r="N3" s="86">
        <v>606.22949802302594</v>
      </c>
      <c r="O3" s="86">
        <v>17.008581781500091</v>
      </c>
      <c r="P3" s="86"/>
      <c r="Q3" s="86">
        <v>2019</v>
      </c>
      <c r="R3" s="86">
        <v>16498.185654762725</v>
      </c>
      <c r="S3" s="86">
        <v>16974.425944644725</v>
      </c>
      <c r="T3" s="86">
        <v>476.24028988200257</v>
      </c>
      <c r="U3" s="86"/>
      <c r="V3" s="86">
        <v>2019</v>
      </c>
      <c r="W3" s="86">
        <v>23.004457248979733</v>
      </c>
      <c r="X3" s="86">
        <v>24.338960161356152</v>
      </c>
      <c r="Y3" s="86">
        <v>1.33450291237642</v>
      </c>
      <c r="Z3" s="86"/>
      <c r="AA3" s="86">
        <v>2019</v>
      </c>
      <c r="AB3" s="86">
        <v>6096.1811709796293</v>
      </c>
      <c r="AC3" s="86">
        <v>6449.82444275938</v>
      </c>
      <c r="AD3" s="86">
        <v>353.64327177975133</v>
      </c>
      <c r="AE3" s="86"/>
      <c r="AF3" s="86">
        <v>2019</v>
      </c>
      <c r="AG3" s="86">
        <v>826.47850637916281</v>
      </c>
      <c r="AH3" s="86">
        <v>826.47850637916281</v>
      </c>
      <c r="AI3" s="86">
        <v>0</v>
      </c>
    </row>
    <row r="4" spans="2:35" x14ac:dyDescent="0.35">
      <c r="B4">
        <v>2020</v>
      </c>
      <c r="C4" s="86">
        <v>58117.395204068103</v>
      </c>
      <c r="D4" s="86">
        <v>62484.212250211742</v>
      </c>
      <c r="E4" s="86">
        <v>4366.8170461436421</v>
      </c>
      <c r="F4" s="86"/>
      <c r="G4" s="86">
        <v>2020</v>
      </c>
      <c r="H4" s="86">
        <v>34542.225875388554</v>
      </c>
      <c r="I4" s="86">
        <v>37982.168428166857</v>
      </c>
      <c r="J4" s="86">
        <v>3439.9425527783005</v>
      </c>
      <c r="K4" s="86"/>
      <c r="L4" s="86">
        <v>2020</v>
      </c>
      <c r="M4" s="86">
        <v>594.7303127174365</v>
      </c>
      <c r="N4" s="86">
        <v>613.36958208718977</v>
      </c>
      <c r="O4" s="86">
        <v>18.639269369753308</v>
      </c>
      <c r="P4" s="86"/>
      <c r="Q4" s="86">
        <v>2020</v>
      </c>
      <c r="R4" s="86">
        <v>16652.448756088223</v>
      </c>
      <c r="S4" s="86">
        <v>17174.348298441313</v>
      </c>
      <c r="T4" s="86">
        <v>521.89954235309256</v>
      </c>
      <c r="U4" s="86"/>
      <c r="V4" s="86">
        <v>2020</v>
      </c>
      <c r="W4" s="86">
        <v>22.983973024124786</v>
      </c>
      <c r="X4" s="86">
        <v>24.512180386435158</v>
      </c>
      <c r="Y4" s="86">
        <v>1.5282073623103709</v>
      </c>
      <c r="Z4" s="86"/>
      <c r="AA4" s="86">
        <v>2020</v>
      </c>
      <c r="AB4" s="86">
        <v>6090.7528513930683</v>
      </c>
      <c r="AC4" s="86">
        <v>6495.7278024053167</v>
      </c>
      <c r="AD4" s="86">
        <v>404.97495101224831</v>
      </c>
      <c r="AE4" s="86"/>
      <c r="AF4" s="86">
        <v>2020</v>
      </c>
      <c r="AG4" s="86">
        <v>790.66914419320142</v>
      </c>
      <c r="AH4" s="86">
        <v>790.66914419320142</v>
      </c>
      <c r="AI4" s="86">
        <v>0</v>
      </c>
    </row>
    <row r="5" spans="2:35" x14ac:dyDescent="0.35">
      <c r="B5">
        <v>2021</v>
      </c>
      <c r="C5" s="86">
        <v>59616.860359598832</v>
      </c>
      <c r="D5" s="86">
        <v>64340.992404213648</v>
      </c>
      <c r="E5" s="86">
        <v>4724.1320446148156</v>
      </c>
      <c r="F5" s="86"/>
      <c r="G5" s="86">
        <v>2021</v>
      </c>
      <c r="H5" s="86">
        <v>36453.943339321144</v>
      </c>
      <c r="I5" s="86">
        <v>40249.675815327078</v>
      </c>
      <c r="J5" s="86">
        <v>3795.7324760059346</v>
      </c>
      <c r="K5" s="86"/>
      <c r="L5" s="86">
        <v>2021</v>
      </c>
      <c r="M5" s="86">
        <v>583.83889273555042</v>
      </c>
      <c r="N5" s="86">
        <v>602.33110187129603</v>
      </c>
      <c r="O5" s="86">
        <v>18.49220913574559</v>
      </c>
      <c r="P5" s="86"/>
      <c r="Q5" s="86">
        <v>2021</v>
      </c>
      <c r="R5" s="86">
        <v>16347.488996595412</v>
      </c>
      <c r="S5" s="86">
        <v>16865.27085239629</v>
      </c>
      <c r="T5" s="86">
        <v>517.78185580087654</v>
      </c>
      <c r="U5" s="86"/>
      <c r="V5" s="86">
        <v>2021</v>
      </c>
      <c r="W5" s="86">
        <v>22.585600488491757</v>
      </c>
      <c r="X5" s="86">
        <v>24.135101291540838</v>
      </c>
      <c r="Y5" s="86">
        <v>1.5495008030490802</v>
      </c>
      <c r="Z5" s="86"/>
      <c r="AA5" s="86">
        <v>2021</v>
      </c>
      <c r="AB5" s="86">
        <v>5985.1841294503156</v>
      </c>
      <c r="AC5" s="86">
        <v>6395.8018422583218</v>
      </c>
      <c r="AD5" s="86">
        <v>410.61771280800627</v>
      </c>
      <c r="AE5" s="86"/>
      <c r="AF5" s="86">
        <v>2021</v>
      </c>
      <c r="AG5" s="86">
        <v>789.25934778315263</v>
      </c>
      <c r="AH5" s="86">
        <v>789.25934778315263</v>
      </c>
      <c r="AI5" s="86">
        <v>0</v>
      </c>
    </row>
    <row r="6" spans="2:35" x14ac:dyDescent="0.35">
      <c r="B6">
        <v>2022</v>
      </c>
      <c r="C6" s="86">
        <v>59972.728983038483</v>
      </c>
      <c r="D6" s="86">
        <v>64856.408115856626</v>
      </c>
      <c r="E6" s="86">
        <v>4883.6791328181398</v>
      </c>
      <c r="F6" s="86"/>
      <c r="G6" s="86">
        <v>2022</v>
      </c>
      <c r="H6" s="86">
        <v>37060.309823916919</v>
      </c>
      <c r="I6" s="86">
        <v>41019.31265914331</v>
      </c>
      <c r="J6" s="86">
        <v>3959.0028352263907</v>
      </c>
      <c r="K6" s="86"/>
      <c r="L6" s="86">
        <v>2022</v>
      </c>
      <c r="M6" s="86">
        <v>578.04438643499793</v>
      </c>
      <c r="N6" s="86">
        <v>596.4502755164674</v>
      </c>
      <c r="O6" s="86">
        <v>18.405889081469436</v>
      </c>
      <c r="P6" s="86"/>
      <c r="Q6" s="86">
        <v>2022</v>
      </c>
      <c r="R6" s="86">
        <v>16185.242820179941</v>
      </c>
      <c r="S6" s="86">
        <v>16700.607714461086</v>
      </c>
      <c r="T6" s="86">
        <v>515.36489428114419</v>
      </c>
      <c r="U6" s="86"/>
      <c r="V6" s="86">
        <v>2022</v>
      </c>
      <c r="W6" s="86">
        <v>22.2630982380837</v>
      </c>
      <c r="X6" s="86">
        <v>23.80766957133126</v>
      </c>
      <c r="Y6" s="86">
        <v>1.5445713332475612</v>
      </c>
      <c r="Z6" s="86"/>
      <c r="AA6" s="86">
        <v>2022</v>
      </c>
      <c r="AB6" s="86">
        <v>5899.7210330921807</v>
      </c>
      <c r="AC6" s="86">
        <v>6309.0324364027838</v>
      </c>
      <c r="AD6" s="86">
        <v>409.31140331060374</v>
      </c>
      <c r="AE6" s="86"/>
      <c r="AF6" s="86">
        <v>2022</v>
      </c>
      <c r="AG6" s="86">
        <v>786.75722242712368</v>
      </c>
      <c r="AH6" s="86">
        <v>786.75722242712368</v>
      </c>
      <c r="AI6" s="86">
        <v>0</v>
      </c>
    </row>
    <row r="7" spans="2:35" x14ac:dyDescent="0.35">
      <c r="B7">
        <v>2023</v>
      </c>
      <c r="C7" s="86">
        <v>59409.225758405351</v>
      </c>
      <c r="D7" s="86">
        <v>66113.613029046042</v>
      </c>
      <c r="E7" s="86">
        <v>6704.3872706406955</v>
      </c>
      <c r="F7" s="86"/>
      <c r="G7" s="86">
        <v>2023</v>
      </c>
      <c r="H7" s="86">
        <v>36684.562983494739</v>
      </c>
      <c r="I7" s="86">
        <v>42466.441583773776</v>
      </c>
      <c r="J7" s="86">
        <v>5781.878600279033</v>
      </c>
      <c r="K7" s="86"/>
      <c r="L7" s="86">
        <v>2023</v>
      </c>
      <c r="M7" s="86">
        <v>574.60283572353649</v>
      </c>
      <c r="N7" s="86">
        <v>592.96773391667523</v>
      </c>
      <c r="O7" s="86">
        <v>18.36489819313875</v>
      </c>
      <c r="P7" s="86"/>
      <c r="Q7" s="86">
        <v>2023</v>
      </c>
      <c r="R7" s="86">
        <v>16088.879400259022</v>
      </c>
      <c r="S7" s="86">
        <v>16603.096549666905</v>
      </c>
      <c r="T7" s="86">
        <v>514.21714940788502</v>
      </c>
      <c r="U7" s="86"/>
      <c r="V7" s="86">
        <v>2023</v>
      </c>
      <c r="W7" s="86">
        <v>21.964318484345277</v>
      </c>
      <c r="X7" s="86">
        <v>23.505041204925565</v>
      </c>
      <c r="Y7" s="86">
        <v>1.540722720580288</v>
      </c>
      <c r="Z7" s="86"/>
      <c r="AA7" s="86">
        <v>2023</v>
      </c>
      <c r="AB7" s="86">
        <v>5820.5443983514988</v>
      </c>
      <c r="AC7" s="86">
        <v>6228.8359193052747</v>
      </c>
      <c r="AD7" s="86">
        <v>408.29152095377634</v>
      </c>
      <c r="AE7" s="86"/>
      <c r="AF7" s="86">
        <v>2023</v>
      </c>
      <c r="AG7" s="86">
        <v>774.79836306748382</v>
      </c>
      <c r="AH7" s="86">
        <v>774.79836306748382</v>
      </c>
      <c r="AI7" s="86">
        <v>0</v>
      </c>
    </row>
    <row r="8" spans="2:35" x14ac:dyDescent="0.35">
      <c r="B8">
        <v>2024</v>
      </c>
      <c r="C8" s="86">
        <v>57841.432675104166</v>
      </c>
      <c r="D8" s="86">
        <v>63700.581062530364</v>
      </c>
      <c r="E8" s="86">
        <v>5859.1483874261994</v>
      </c>
      <c r="F8" s="86"/>
      <c r="G8" s="86">
        <v>2024</v>
      </c>
      <c r="H8" s="86">
        <v>35395.418593839466</v>
      </c>
      <c r="I8" s="86">
        <v>40334.770649943981</v>
      </c>
      <c r="J8" s="86">
        <v>4939.3520561045161</v>
      </c>
      <c r="K8" s="86"/>
      <c r="L8" s="86">
        <v>2024</v>
      </c>
      <c r="M8" s="86">
        <v>568.56205420313461</v>
      </c>
      <c r="N8" s="86">
        <v>586.86527881500581</v>
      </c>
      <c r="O8" s="86">
        <v>18.303224611871194</v>
      </c>
      <c r="P8" s="86"/>
      <c r="Q8" s="86">
        <v>2024</v>
      </c>
      <c r="R8" s="86">
        <v>15919.737517687769</v>
      </c>
      <c r="S8" s="86">
        <v>16432.227806820163</v>
      </c>
      <c r="T8" s="86">
        <v>512.4902891323934</v>
      </c>
      <c r="U8" s="86"/>
      <c r="V8" s="86">
        <v>2024</v>
      </c>
      <c r="W8" s="86">
        <v>21.549354148568323</v>
      </c>
      <c r="X8" s="86">
        <v>23.086358081358089</v>
      </c>
      <c r="Y8" s="86">
        <v>1.5370039327897644</v>
      </c>
      <c r="Z8" s="86"/>
      <c r="AA8" s="86">
        <v>2024</v>
      </c>
      <c r="AB8" s="86">
        <v>5710.5788493706059</v>
      </c>
      <c r="AC8" s="86">
        <v>6117.8848915598937</v>
      </c>
      <c r="AD8" s="86">
        <v>407.30604218928755</v>
      </c>
      <c r="AE8" s="86"/>
      <c r="AF8" s="86">
        <v>2024</v>
      </c>
      <c r="AG8" s="86">
        <v>775.41264960721946</v>
      </c>
      <c r="AH8" s="86">
        <v>775.41264960721946</v>
      </c>
      <c r="AI8" s="86">
        <v>0</v>
      </c>
    </row>
    <row r="9" spans="2:35" x14ac:dyDescent="0.35">
      <c r="B9">
        <v>2025</v>
      </c>
      <c r="C9" s="86">
        <v>56171.388006425521</v>
      </c>
      <c r="D9" s="86">
        <v>62347.210438544498</v>
      </c>
      <c r="E9" s="86">
        <v>6175.8224321189782</v>
      </c>
      <c r="F9" s="86"/>
      <c r="G9" s="86">
        <v>2025</v>
      </c>
      <c r="H9" s="86">
        <v>34051.647470446602</v>
      </c>
      <c r="I9" s="86">
        <v>39310.422551722986</v>
      </c>
      <c r="J9" s="86">
        <v>5258.7750812763861</v>
      </c>
      <c r="K9" s="86"/>
      <c r="L9" s="86">
        <v>2025</v>
      </c>
      <c r="M9" s="86">
        <v>560.52726293969295</v>
      </c>
      <c r="N9" s="86">
        <v>578.76434304715985</v>
      </c>
      <c r="O9" s="86">
        <v>18.237080107466866</v>
      </c>
      <c r="P9" s="86"/>
      <c r="Q9" s="86">
        <v>2025</v>
      </c>
      <c r="R9" s="86">
        <v>15694.763362311402</v>
      </c>
      <c r="S9" s="86">
        <v>16205.401605320476</v>
      </c>
      <c r="T9" s="86">
        <v>510.63824300907226</v>
      </c>
      <c r="U9" s="86"/>
      <c r="V9" s="86">
        <v>2025</v>
      </c>
      <c r="W9" s="86">
        <v>21.149510496186299</v>
      </c>
      <c r="X9" s="86">
        <v>22.683129771029762</v>
      </c>
      <c r="Y9" s="86">
        <v>1.5336192748434627</v>
      </c>
      <c r="Z9" s="86"/>
      <c r="AA9" s="86">
        <v>2025</v>
      </c>
      <c r="AB9" s="86">
        <v>5604.6202814893695</v>
      </c>
      <c r="AC9" s="86">
        <v>6011.0293893228873</v>
      </c>
      <c r="AD9" s="86">
        <v>406.40910783351762</v>
      </c>
      <c r="AE9" s="86"/>
      <c r="AF9" s="86">
        <v>2025</v>
      </c>
      <c r="AG9" s="86">
        <v>780.1963580096234</v>
      </c>
      <c r="AH9" s="86">
        <v>780.1963580096234</v>
      </c>
      <c r="AI9" s="86">
        <v>0</v>
      </c>
    </row>
    <row r="10" spans="2:35" x14ac:dyDescent="0.35">
      <c r="B10">
        <v>2026</v>
      </c>
      <c r="C10" s="86">
        <v>53477.435159879351</v>
      </c>
      <c r="D10" s="86">
        <v>58861.978247095438</v>
      </c>
      <c r="E10" s="86">
        <v>5384.543087216085</v>
      </c>
      <c r="F10" s="86"/>
      <c r="G10" s="86">
        <v>2026</v>
      </c>
      <c r="H10" s="86">
        <v>31806.896330940206</v>
      </c>
      <c r="I10" s="86">
        <v>36270.768325360186</v>
      </c>
      <c r="J10" s="86">
        <v>4463.8719944199802</v>
      </c>
      <c r="K10" s="86"/>
      <c r="L10" s="86">
        <v>2026</v>
      </c>
      <c r="M10" s="86">
        <v>550.36766728215014</v>
      </c>
      <c r="N10" s="86">
        <v>568.58951593895597</v>
      </c>
      <c r="O10" s="86">
        <v>18.221848656805818</v>
      </c>
      <c r="P10" s="86"/>
      <c r="Q10" s="86">
        <v>2026</v>
      </c>
      <c r="R10" s="86">
        <v>15410.294683900203</v>
      </c>
      <c r="S10" s="86">
        <v>15920.506446290767</v>
      </c>
      <c r="T10" s="86">
        <v>510.21176239056291</v>
      </c>
      <c r="U10" s="86"/>
      <c r="V10" s="86">
        <v>2026</v>
      </c>
      <c r="W10" s="86">
        <v>20.657539633650593</v>
      </c>
      <c r="X10" s="86">
        <v>22.206442767256402</v>
      </c>
      <c r="Y10" s="86">
        <v>1.5489031336058088</v>
      </c>
      <c r="Z10" s="86"/>
      <c r="AA10" s="86">
        <v>2026</v>
      </c>
      <c r="AB10" s="86">
        <v>5474.2480029174076</v>
      </c>
      <c r="AC10" s="86">
        <v>5884.7073333229464</v>
      </c>
      <c r="AD10" s="86">
        <v>410.45933040553933</v>
      </c>
      <c r="AE10" s="86"/>
      <c r="AF10" s="86">
        <v>2026</v>
      </c>
      <c r="AG10" s="86">
        <v>745.6819223591483</v>
      </c>
      <c r="AH10" s="86">
        <v>745.6819223591483</v>
      </c>
      <c r="AI10" s="86">
        <v>0</v>
      </c>
    </row>
    <row r="11" spans="2:35" x14ac:dyDescent="0.35">
      <c r="B11">
        <v>2027</v>
      </c>
      <c r="C11" s="86">
        <v>52562.930385494357</v>
      </c>
      <c r="D11" s="86">
        <v>58424.171903052571</v>
      </c>
      <c r="E11" s="86">
        <v>5861.2415175582109</v>
      </c>
      <c r="F11" s="86"/>
      <c r="G11" s="86">
        <v>2027</v>
      </c>
      <c r="H11" s="86">
        <v>31279.665472497494</v>
      </c>
      <c r="I11" s="86">
        <v>36215.884462993941</v>
      </c>
      <c r="J11" s="86">
        <v>4936.2189904964498</v>
      </c>
      <c r="K11" s="86"/>
      <c r="L11" s="86">
        <v>2027</v>
      </c>
      <c r="M11" s="86">
        <v>540.64817881673571</v>
      </c>
      <c r="N11" s="86">
        <v>558.82030272866143</v>
      </c>
      <c r="O11" s="86">
        <v>18.172123911925695</v>
      </c>
      <c r="P11" s="86"/>
      <c r="Q11" s="86">
        <v>2027</v>
      </c>
      <c r="R11" s="86">
        <v>15138.1490068686</v>
      </c>
      <c r="S11" s="86">
        <v>15646.968476402521</v>
      </c>
      <c r="T11" s="86">
        <v>508.81946953391946</v>
      </c>
      <c r="U11" s="86"/>
      <c r="V11" s="86">
        <v>2027</v>
      </c>
      <c r="W11" s="86">
        <v>20.278428563695599</v>
      </c>
      <c r="X11" s="86">
        <v>21.849006139272351</v>
      </c>
      <c r="Y11" s="86">
        <v>1.5705775755767535</v>
      </c>
      <c r="Z11" s="86"/>
      <c r="AA11" s="86">
        <v>2027</v>
      </c>
      <c r="AB11" s="86">
        <v>5373.783569379334</v>
      </c>
      <c r="AC11" s="86">
        <v>5789.9866269071726</v>
      </c>
      <c r="AD11" s="86">
        <v>416.20305752783969</v>
      </c>
      <c r="AE11" s="86"/>
      <c r="AF11" s="86">
        <v>2027</v>
      </c>
      <c r="AG11" s="86">
        <v>729.97165537568742</v>
      </c>
      <c r="AH11" s="86">
        <v>729.97165537568742</v>
      </c>
      <c r="AI11" s="86">
        <v>0</v>
      </c>
    </row>
    <row r="12" spans="2:35" x14ac:dyDescent="0.35">
      <c r="B12">
        <v>2028</v>
      </c>
      <c r="C12" s="86">
        <v>50763.04436517576</v>
      </c>
      <c r="D12" s="86">
        <v>56713.241495681701</v>
      </c>
      <c r="E12" s="86">
        <v>5950.1971305059433</v>
      </c>
      <c r="F12" s="86"/>
      <c r="G12" s="86">
        <v>2028</v>
      </c>
      <c r="H12" s="86">
        <v>29930.704039628825</v>
      </c>
      <c r="I12" s="86">
        <v>34959.805507928497</v>
      </c>
      <c r="J12" s="86">
        <v>5029.1014682996702</v>
      </c>
      <c r="K12" s="86"/>
      <c r="L12" s="86">
        <v>2028</v>
      </c>
      <c r="M12" s="86">
        <v>529.61966802894005</v>
      </c>
      <c r="N12" s="86">
        <v>547.73739723732194</v>
      </c>
      <c r="O12" s="86">
        <v>18.117729208381938</v>
      </c>
      <c r="P12" s="86"/>
      <c r="Q12" s="86">
        <v>2028</v>
      </c>
      <c r="R12" s="86">
        <v>14829.350704810322</v>
      </c>
      <c r="S12" s="86">
        <v>15336.647122645014</v>
      </c>
      <c r="T12" s="86">
        <v>507.29641783469424</v>
      </c>
      <c r="U12" s="86"/>
      <c r="V12" s="86">
        <v>2028</v>
      </c>
      <c r="W12" s="86">
        <v>19.840267160055493</v>
      </c>
      <c r="X12" s="86">
        <v>21.401773742589757</v>
      </c>
      <c r="Y12" s="86">
        <v>1.561506582534264</v>
      </c>
      <c r="Z12" s="86"/>
      <c r="AA12" s="86">
        <v>2028</v>
      </c>
      <c r="AB12" s="86">
        <v>5257.6707974147057</v>
      </c>
      <c r="AC12" s="86">
        <v>5671.4700417862859</v>
      </c>
      <c r="AD12" s="86">
        <v>413.79924437157996</v>
      </c>
      <c r="AE12" s="86"/>
      <c r="AF12" s="86">
        <v>2028</v>
      </c>
      <c r="AG12" s="86">
        <v>702.87738972440968</v>
      </c>
      <c r="AH12" s="86">
        <v>702.87738972440968</v>
      </c>
      <c r="AI12" s="86">
        <v>0</v>
      </c>
    </row>
    <row r="13" spans="2:35" x14ac:dyDescent="0.35">
      <c r="B13">
        <v>2029</v>
      </c>
      <c r="C13" s="86">
        <v>49598.107763941305</v>
      </c>
      <c r="D13" s="86">
        <v>55864.571955817002</v>
      </c>
      <c r="E13" s="86">
        <v>6266.4641918756952</v>
      </c>
      <c r="F13" s="86"/>
      <c r="G13" s="86">
        <v>2029</v>
      </c>
      <c r="H13" s="86">
        <v>29205.127696127027</v>
      </c>
      <c r="I13" s="86">
        <v>34553.707985503119</v>
      </c>
      <c r="J13" s="86">
        <v>5348.5802893760938</v>
      </c>
      <c r="K13" s="86"/>
      <c r="L13" s="86">
        <v>2029</v>
      </c>
      <c r="M13" s="86">
        <v>518.35836578488602</v>
      </c>
      <c r="N13" s="86">
        <v>536.41711948545435</v>
      </c>
      <c r="O13" s="86">
        <v>18.058753700568378</v>
      </c>
      <c r="P13" s="86"/>
      <c r="Q13" s="86">
        <v>2029</v>
      </c>
      <c r="R13" s="86">
        <v>14514.034241976809</v>
      </c>
      <c r="S13" s="86">
        <v>15019.679345592722</v>
      </c>
      <c r="T13" s="86">
        <v>505.64510361591459</v>
      </c>
      <c r="U13" s="86"/>
      <c r="V13" s="86">
        <v>2029</v>
      </c>
      <c r="W13" s="86">
        <v>19.42951746153328</v>
      </c>
      <c r="X13" s="86">
        <v>20.985135570528318</v>
      </c>
      <c r="Y13" s="86">
        <v>1.5556181089950394</v>
      </c>
      <c r="Z13" s="86"/>
      <c r="AA13" s="86">
        <v>2029</v>
      </c>
      <c r="AB13" s="86">
        <v>5148.8221273063191</v>
      </c>
      <c r="AC13" s="86">
        <v>5561.0609261900045</v>
      </c>
      <c r="AD13" s="86">
        <v>412.23879888368543</v>
      </c>
      <c r="AE13" s="86"/>
      <c r="AF13" s="86">
        <v>2029</v>
      </c>
      <c r="AG13" s="86">
        <v>686.56593151808443</v>
      </c>
      <c r="AH13" s="86">
        <v>686.56593151808443</v>
      </c>
      <c r="AI13" s="86">
        <v>0</v>
      </c>
    </row>
    <row r="14" spans="2:35" x14ac:dyDescent="0.35">
      <c r="B14">
        <v>2030</v>
      </c>
      <c r="C14" s="86">
        <v>48607.91621783279</v>
      </c>
      <c r="D14" s="86">
        <v>55700.295473326376</v>
      </c>
      <c r="E14" s="86">
        <v>7092.3792554935826</v>
      </c>
      <c r="F14" s="86"/>
      <c r="G14" s="86">
        <v>2030</v>
      </c>
      <c r="H14" s="86">
        <v>28631.68521601817</v>
      </c>
      <c r="I14" s="86">
        <v>34815.988084281671</v>
      </c>
      <c r="J14" s="86">
        <v>6184.3028682635031</v>
      </c>
      <c r="K14" s="86"/>
      <c r="L14" s="86">
        <v>2030</v>
      </c>
      <c r="M14" s="86">
        <v>507.14823688842262</v>
      </c>
      <c r="N14" s="86">
        <v>525.14347020260595</v>
      </c>
      <c r="O14" s="86">
        <v>17.995233314183288</v>
      </c>
      <c r="P14" s="86"/>
      <c r="Q14" s="86">
        <v>2030</v>
      </c>
      <c r="R14" s="86">
        <v>14200.150632875833</v>
      </c>
      <c r="S14" s="86">
        <v>14704.017165672967</v>
      </c>
      <c r="T14" s="86">
        <v>503.86653279713209</v>
      </c>
      <c r="U14" s="86"/>
      <c r="V14" s="86">
        <v>2030</v>
      </c>
      <c r="W14" s="86">
        <v>19.050040558681378</v>
      </c>
      <c r="X14" s="86">
        <v>20.575360764088721</v>
      </c>
      <c r="Y14" s="86">
        <v>1.5253202054073434</v>
      </c>
      <c r="Z14" s="86"/>
      <c r="AA14" s="86">
        <v>2030</v>
      </c>
      <c r="AB14" s="86">
        <v>5048.2607480505649</v>
      </c>
      <c r="AC14" s="86">
        <v>5452.4706024835114</v>
      </c>
      <c r="AD14" s="86">
        <v>404.20985443294597</v>
      </c>
      <c r="AE14" s="86"/>
      <c r="AF14" s="86">
        <v>2030</v>
      </c>
      <c r="AG14" s="86">
        <v>683.10910323668645</v>
      </c>
      <c r="AH14" s="86">
        <v>683.10910323668645</v>
      </c>
      <c r="AI14" s="86">
        <v>0</v>
      </c>
    </row>
    <row r="15" spans="2:35" x14ac:dyDescent="0.35">
      <c r="B15">
        <v>2031</v>
      </c>
      <c r="C15" s="86">
        <v>49015.224471090492</v>
      </c>
      <c r="D15" s="86">
        <v>56555.041066809623</v>
      </c>
      <c r="E15" s="86">
        <v>7539.8165957191322</v>
      </c>
      <c r="F15" s="86"/>
      <c r="G15" s="86">
        <v>2031</v>
      </c>
      <c r="H15" s="86">
        <v>28993.372666719864</v>
      </c>
      <c r="I15" s="86">
        <v>35640.839950809175</v>
      </c>
      <c r="J15" s="86">
        <v>6647.4672840893127</v>
      </c>
      <c r="K15" s="86"/>
      <c r="L15" s="86">
        <v>2031</v>
      </c>
      <c r="M15" s="86">
        <v>508.44005447261674</v>
      </c>
      <c r="N15" s="86">
        <v>526.43026310567552</v>
      </c>
      <c r="O15" s="86">
        <v>17.990208633058771</v>
      </c>
      <c r="P15" s="86"/>
      <c r="Q15" s="86">
        <v>2031</v>
      </c>
      <c r="R15" s="86">
        <v>14236.321525233268</v>
      </c>
      <c r="S15" s="86">
        <v>14740.047366958916</v>
      </c>
      <c r="T15" s="86">
        <v>503.72584172564558</v>
      </c>
      <c r="U15" s="86"/>
      <c r="V15" s="86">
        <v>2031</v>
      </c>
      <c r="W15" s="86">
        <v>19.080954359167126</v>
      </c>
      <c r="X15" s="86">
        <v>20.547458019182873</v>
      </c>
      <c r="Y15" s="86">
        <v>1.4665036600157475</v>
      </c>
      <c r="Z15" s="86"/>
      <c r="AA15" s="86">
        <v>2031</v>
      </c>
      <c r="AB15" s="86">
        <v>5056.4529051792888</v>
      </c>
      <c r="AC15" s="86">
        <v>5445.0763750834612</v>
      </c>
      <c r="AD15" s="86">
        <v>388.62346990417308</v>
      </c>
      <c r="AE15" s="86"/>
      <c r="AF15" s="86">
        <v>2031</v>
      </c>
      <c r="AG15" s="86">
        <v>599.39287731568822</v>
      </c>
      <c r="AH15" s="86">
        <v>599.39287731568822</v>
      </c>
      <c r="AI15" s="86">
        <v>0</v>
      </c>
    </row>
    <row r="16" spans="2:35" x14ac:dyDescent="0.35">
      <c r="B16">
        <v>2032</v>
      </c>
      <c r="C16" s="86">
        <v>48806.144121564299</v>
      </c>
      <c r="D16" s="86">
        <v>56846.596932437446</v>
      </c>
      <c r="E16" s="86">
        <v>8040.4528108731465</v>
      </c>
      <c r="F16" s="86"/>
      <c r="G16" s="86">
        <v>2032</v>
      </c>
      <c r="H16" s="86">
        <v>28751.076059953175</v>
      </c>
      <c r="I16" s="86">
        <v>35893.931872316003</v>
      </c>
      <c r="J16" s="86">
        <v>7142.85581236283</v>
      </c>
      <c r="K16" s="86"/>
      <c r="L16" s="86">
        <v>2032</v>
      </c>
      <c r="M16" s="86">
        <v>509.62383108523693</v>
      </c>
      <c r="N16" s="86">
        <v>527.60901568450197</v>
      </c>
      <c r="O16" s="86">
        <v>17.985184599265068</v>
      </c>
      <c r="P16" s="86"/>
      <c r="Q16" s="86">
        <v>2032</v>
      </c>
      <c r="R16" s="86">
        <v>14269.467270386634</v>
      </c>
      <c r="S16" s="86">
        <v>14773.052439166055</v>
      </c>
      <c r="T16" s="86">
        <v>503.58516877942191</v>
      </c>
      <c r="U16" s="86"/>
      <c r="V16" s="86">
        <v>2032</v>
      </c>
      <c r="W16" s="86">
        <v>19.057902924445575</v>
      </c>
      <c r="X16" s="86">
        <v>20.544740017769701</v>
      </c>
      <c r="Y16" s="86">
        <v>1.4868370933241279</v>
      </c>
      <c r="Z16" s="86"/>
      <c r="AA16" s="86">
        <v>2032</v>
      </c>
      <c r="AB16" s="86">
        <v>5050.344274978077</v>
      </c>
      <c r="AC16" s="86">
        <v>5444.3561047089706</v>
      </c>
      <c r="AD16" s="86">
        <v>394.01182973089391</v>
      </c>
      <c r="AE16" s="86"/>
      <c r="AF16" s="86">
        <v>2032</v>
      </c>
      <c r="AG16" s="86">
        <v>601.57256650784984</v>
      </c>
      <c r="AH16" s="86">
        <v>601.57256650784984</v>
      </c>
      <c r="AI16" s="86">
        <v>0</v>
      </c>
    </row>
    <row r="17" spans="2:35" x14ac:dyDescent="0.35">
      <c r="B17">
        <v>2033</v>
      </c>
      <c r="C17" s="86">
        <v>48914.976191817681</v>
      </c>
      <c r="D17" s="86">
        <v>56860.211347570963</v>
      </c>
      <c r="E17" s="86">
        <v>7945.2351557532847</v>
      </c>
      <c r="F17" s="86"/>
      <c r="G17" s="86">
        <v>2033</v>
      </c>
      <c r="H17" s="86">
        <v>28813.698636327448</v>
      </c>
      <c r="I17" s="86">
        <v>35875.528289848851</v>
      </c>
      <c r="J17" s="86">
        <v>7061.829653521404</v>
      </c>
      <c r="K17" s="86"/>
      <c r="L17" s="86">
        <v>2033</v>
      </c>
      <c r="M17" s="86">
        <v>510.94099386105921</v>
      </c>
      <c r="N17" s="86">
        <v>528.92116014441876</v>
      </c>
      <c r="O17" s="86">
        <v>17.980166283359573</v>
      </c>
      <c r="P17" s="86"/>
      <c r="Q17" s="86">
        <v>2033</v>
      </c>
      <c r="R17" s="86">
        <v>14306.347828109658</v>
      </c>
      <c r="S17" s="86">
        <v>14809.792484043726</v>
      </c>
      <c r="T17" s="86">
        <v>503.44465593406801</v>
      </c>
      <c r="U17" s="86"/>
      <c r="V17" s="86">
        <v>2033</v>
      </c>
      <c r="W17" s="86">
        <v>19.063571295598422</v>
      </c>
      <c r="X17" s="86">
        <v>20.497385809929796</v>
      </c>
      <c r="Y17" s="86">
        <v>1.4338145143313721</v>
      </c>
      <c r="Z17" s="86"/>
      <c r="AA17" s="86">
        <v>2033</v>
      </c>
      <c r="AB17" s="86">
        <v>5051.8463933335815</v>
      </c>
      <c r="AC17" s="86">
        <v>5431.8072396313955</v>
      </c>
      <c r="AD17" s="86">
        <v>379.96084629781359</v>
      </c>
      <c r="AE17" s="86"/>
      <c r="AF17" s="86">
        <v>2033</v>
      </c>
      <c r="AG17" s="86">
        <v>605.26626220952051</v>
      </c>
      <c r="AH17" s="86">
        <v>605.26626220952051</v>
      </c>
      <c r="AI17" s="86">
        <v>0</v>
      </c>
    </row>
    <row r="18" spans="2:35" x14ac:dyDescent="0.35">
      <c r="B18">
        <v>2034</v>
      </c>
      <c r="C18" s="86">
        <v>49590.257625493243</v>
      </c>
      <c r="D18" s="86">
        <v>58271.880885800158</v>
      </c>
      <c r="E18" s="86">
        <v>8681.6232603069147</v>
      </c>
      <c r="F18" s="86"/>
      <c r="G18" s="86">
        <v>2034</v>
      </c>
      <c r="H18" s="86">
        <v>29421.900913743058</v>
      </c>
      <c r="I18" s="86">
        <v>37214.870535115653</v>
      </c>
      <c r="J18" s="86">
        <v>7792.9696213725965</v>
      </c>
      <c r="K18" s="86"/>
      <c r="L18" s="86">
        <v>2034</v>
      </c>
      <c r="M18" s="86">
        <v>512.36918056843842</v>
      </c>
      <c r="N18" s="86">
        <v>530.34433853857524</v>
      </c>
      <c r="O18" s="86">
        <v>17.975157970136785</v>
      </c>
      <c r="P18" s="86"/>
      <c r="Q18" s="86">
        <v>2034</v>
      </c>
      <c r="R18" s="86">
        <v>14346.337055916276</v>
      </c>
      <c r="S18" s="86">
        <v>14849.641479080106</v>
      </c>
      <c r="T18" s="86">
        <v>503.30442316382994</v>
      </c>
      <c r="U18" s="86"/>
      <c r="V18" s="86">
        <v>2034</v>
      </c>
      <c r="W18" s="86">
        <v>19.089487734951707</v>
      </c>
      <c r="X18" s="86">
        <v>20.543635718991279</v>
      </c>
      <c r="Y18" s="86">
        <v>1.4541479840395732</v>
      </c>
      <c r="Z18" s="86"/>
      <c r="AA18" s="86">
        <v>2034</v>
      </c>
      <c r="AB18" s="86">
        <v>5058.7142497622026</v>
      </c>
      <c r="AC18" s="86">
        <v>5444.0634655326885</v>
      </c>
      <c r="AD18" s="86">
        <v>385.34921577048692</v>
      </c>
      <c r="AE18" s="86"/>
      <c r="AF18" s="86">
        <v>2034</v>
      </c>
      <c r="AG18" s="86">
        <v>621.21874012937303</v>
      </c>
      <c r="AH18" s="86">
        <v>621.21874012937303</v>
      </c>
      <c r="AI18" s="86">
        <v>0</v>
      </c>
    </row>
    <row r="19" spans="2:35" x14ac:dyDescent="0.35">
      <c r="B19">
        <v>2035</v>
      </c>
      <c r="C19" s="86">
        <v>50403.783913654377</v>
      </c>
      <c r="D19" s="86">
        <v>58719.105182878309</v>
      </c>
      <c r="E19" s="86">
        <v>8315.3212692239358</v>
      </c>
      <c r="F19" s="86"/>
      <c r="G19" s="86">
        <v>2035</v>
      </c>
      <c r="H19" s="86">
        <v>30157.911874032372</v>
      </c>
      <c r="I19" s="86">
        <v>37579.335194253072</v>
      </c>
      <c r="J19" s="86">
        <v>7421.423320220696</v>
      </c>
      <c r="K19" s="86"/>
      <c r="L19" s="86">
        <v>2035</v>
      </c>
      <c r="M19" s="86">
        <v>513.88704784276376</v>
      </c>
      <c r="N19" s="86">
        <v>531.85724554302544</v>
      </c>
      <c r="O19" s="86">
        <v>17.970197700261718</v>
      </c>
      <c r="P19" s="86"/>
      <c r="Q19" s="86">
        <v>2035</v>
      </c>
      <c r="R19" s="86">
        <v>14388.837339597385</v>
      </c>
      <c r="S19" s="86">
        <v>14892.002875204713</v>
      </c>
      <c r="T19" s="86">
        <v>503.16553560732808</v>
      </c>
      <c r="U19" s="86"/>
      <c r="V19" s="86">
        <v>2035</v>
      </c>
      <c r="W19" s="86">
        <v>19.13849913108135</v>
      </c>
      <c r="X19" s="86">
        <v>20.612961068424404</v>
      </c>
      <c r="Y19" s="86">
        <v>1.4744619373430545</v>
      </c>
      <c r="Z19" s="86"/>
      <c r="AA19" s="86">
        <v>2035</v>
      </c>
      <c r="AB19" s="86">
        <v>5071.7022697365574</v>
      </c>
      <c r="AC19" s="86">
        <v>5462.4346831324674</v>
      </c>
      <c r="AD19" s="86">
        <v>390.73241339590948</v>
      </c>
      <c r="AE19" s="86"/>
      <c r="AF19" s="86">
        <v>2035</v>
      </c>
      <c r="AG19" s="86">
        <v>638.83391895739578</v>
      </c>
      <c r="AH19" s="86">
        <v>638.83391895739578</v>
      </c>
      <c r="AI19" s="86">
        <v>0</v>
      </c>
    </row>
    <row r="20" spans="2:35" x14ac:dyDescent="0.35">
      <c r="B20">
        <v>2036</v>
      </c>
      <c r="C20" s="86">
        <v>50418.913592933706</v>
      </c>
      <c r="D20" s="86">
        <v>59137.344207477523</v>
      </c>
      <c r="E20" s="86">
        <v>8718.4306145438168</v>
      </c>
      <c r="F20" s="86"/>
      <c r="G20" s="86">
        <v>2036</v>
      </c>
      <c r="H20" s="86">
        <v>30127.937744167091</v>
      </c>
      <c r="I20" s="86">
        <v>37953.698772832286</v>
      </c>
      <c r="J20" s="86">
        <v>7825.7610286651934</v>
      </c>
      <c r="K20" s="86"/>
      <c r="L20" s="86">
        <v>2036</v>
      </c>
      <c r="M20" s="86">
        <v>514.84044882840419</v>
      </c>
      <c r="N20" s="86">
        <v>532.80570280400752</v>
      </c>
      <c r="O20" s="86">
        <v>17.965253975603364</v>
      </c>
      <c r="P20" s="86"/>
      <c r="Q20" s="86">
        <v>2036</v>
      </c>
      <c r="R20" s="86">
        <v>14415.532567195318</v>
      </c>
      <c r="S20" s="86">
        <v>14918.559678512211</v>
      </c>
      <c r="T20" s="86">
        <v>503.02711131689421</v>
      </c>
      <c r="U20" s="86"/>
      <c r="V20" s="86">
        <v>2036</v>
      </c>
      <c r="W20" s="86">
        <v>19.124297380356605</v>
      </c>
      <c r="X20" s="86">
        <v>20.594646340966897</v>
      </c>
      <c r="Y20" s="86">
        <v>1.4703489606102897</v>
      </c>
      <c r="Z20" s="86"/>
      <c r="AA20" s="86">
        <v>2036</v>
      </c>
      <c r="AB20" s="86">
        <v>5067.9388057945007</v>
      </c>
      <c r="AC20" s="86">
        <v>5457.5812803562276</v>
      </c>
      <c r="AD20" s="86">
        <v>389.64247456172677</v>
      </c>
      <c r="AE20" s="86"/>
      <c r="AF20" s="86">
        <v>2036</v>
      </c>
      <c r="AG20" s="86">
        <v>656.44795547793831</v>
      </c>
      <c r="AH20" s="86">
        <v>656.44795547793831</v>
      </c>
      <c r="AI20" s="86">
        <v>0</v>
      </c>
    </row>
    <row r="21" spans="2:35" x14ac:dyDescent="0.35">
      <c r="B21">
        <v>2037</v>
      </c>
      <c r="C21" s="86">
        <v>50917.107070994229</v>
      </c>
      <c r="D21" s="86">
        <v>59626.040185742968</v>
      </c>
      <c r="E21" s="86">
        <v>8708.9331147487374</v>
      </c>
      <c r="F21" s="86"/>
      <c r="G21" s="86">
        <v>2037</v>
      </c>
      <c r="H21" s="86">
        <v>30567.848906406442</v>
      </c>
      <c r="I21" s="86">
        <v>38379.113642724835</v>
      </c>
      <c r="J21" s="86">
        <v>7811.2647363183914</v>
      </c>
      <c r="K21" s="86"/>
      <c r="L21" s="86">
        <v>2037</v>
      </c>
      <c r="M21" s="86">
        <v>515.98174847674159</v>
      </c>
      <c r="N21" s="86">
        <v>533.94206736033448</v>
      </c>
      <c r="O21" s="86">
        <v>17.960318883592894</v>
      </c>
      <c r="P21" s="86"/>
      <c r="Q21" s="86">
        <v>2037</v>
      </c>
      <c r="R21" s="86">
        <v>14447.488957348764</v>
      </c>
      <c r="S21" s="86">
        <v>14950.377886089365</v>
      </c>
      <c r="T21" s="86">
        <v>502.88892874060105</v>
      </c>
      <c r="U21" s="86"/>
      <c r="V21" s="86">
        <v>2037</v>
      </c>
      <c r="W21" s="86">
        <v>19.141829848980127</v>
      </c>
      <c r="X21" s="86">
        <v>20.63156362139426</v>
      </c>
      <c r="Y21" s="86">
        <v>1.4897337724141342</v>
      </c>
      <c r="Z21" s="86"/>
      <c r="AA21" s="86">
        <v>2037</v>
      </c>
      <c r="AB21" s="86">
        <v>5072.5849099797333</v>
      </c>
      <c r="AC21" s="86">
        <v>5467.3643596694792</v>
      </c>
      <c r="AD21" s="86">
        <v>394.77944968974555</v>
      </c>
      <c r="AE21" s="86"/>
      <c r="AF21" s="86">
        <v>2037</v>
      </c>
      <c r="AG21" s="86">
        <v>673.41854965123105</v>
      </c>
      <c r="AH21" s="86">
        <v>673.41854965123105</v>
      </c>
      <c r="AI21" s="86">
        <v>0</v>
      </c>
    </row>
    <row r="22" spans="2:35" x14ac:dyDescent="0.35">
      <c r="B22">
        <v>2038</v>
      </c>
      <c r="C22" s="86">
        <v>51805.2041135904</v>
      </c>
      <c r="D22" s="86">
        <v>59648.622796091149</v>
      </c>
      <c r="E22" s="86">
        <v>7843.4186825007473</v>
      </c>
      <c r="F22" s="86"/>
      <c r="G22" s="86">
        <v>2038</v>
      </c>
      <c r="H22" s="86">
        <v>31383.261871715684</v>
      </c>
      <c r="I22" s="86">
        <v>38324.647665448858</v>
      </c>
      <c r="J22" s="86">
        <v>6941.3857937331741</v>
      </c>
      <c r="K22" s="86"/>
      <c r="L22" s="86">
        <v>2038</v>
      </c>
      <c r="M22" s="86">
        <v>517.20791300392284</v>
      </c>
      <c r="N22" s="86">
        <v>535.16330546780284</v>
      </c>
      <c r="O22" s="86">
        <v>17.955392463880042</v>
      </c>
      <c r="P22" s="86"/>
      <c r="Q22" s="86">
        <v>2038</v>
      </c>
      <c r="R22" s="86">
        <v>14481.82156410984</v>
      </c>
      <c r="S22" s="86">
        <v>14984.57255309848</v>
      </c>
      <c r="T22" s="86">
        <v>502.75098898864115</v>
      </c>
      <c r="U22" s="86"/>
      <c r="V22" s="86">
        <v>2038</v>
      </c>
      <c r="W22" s="86">
        <v>19.17419036496414</v>
      </c>
      <c r="X22" s="86">
        <v>20.680914515073312</v>
      </c>
      <c r="Y22" s="86">
        <v>1.5067241501091713</v>
      </c>
      <c r="Z22" s="86"/>
      <c r="AA22" s="86">
        <v>2038</v>
      </c>
      <c r="AB22" s="86">
        <v>5081.1604467154975</v>
      </c>
      <c r="AC22" s="86">
        <v>5480.4423464944275</v>
      </c>
      <c r="AD22" s="86">
        <v>399.28189977893038</v>
      </c>
      <c r="AE22" s="86"/>
      <c r="AF22" s="86">
        <v>2038</v>
      </c>
      <c r="AG22" s="86">
        <v>698.32957764260118</v>
      </c>
      <c r="AH22" s="86">
        <v>698.32957764260118</v>
      </c>
      <c r="AI22" s="86">
        <v>0</v>
      </c>
    </row>
    <row r="23" spans="2:35" x14ac:dyDescent="0.35">
      <c r="B23">
        <v>2039</v>
      </c>
      <c r="C23" s="86">
        <v>51494.489305968251</v>
      </c>
      <c r="D23" s="86">
        <v>59513.012230598288</v>
      </c>
      <c r="E23" s="86">
        <v>8018.522924630035</v>
      </c>
      <c r="F23" s="86"/>
      <c r="G23" s="86">
        <v>2039</v>
      </c>
      <c r="H23" s="86">
        <v>31014.186815120134</v>
      </c>
      <c r="I23" s="86">
        <v>38125.582401397609</v>
      </c>
      <c r="J23" s="86">
        <v>7111.3955862774783</v>
      </c>
      <c r="K23" s="86"/>
      <c r="L23" s="86">
        <v>2039</v>
      </c>
      <c r="M23" s="86">
        <v>518.31832116019382</v>
      </c>
      <c r="N23" s="86">
        <v>536.26879896765558</v>
      </c>
      <c r="O23" s="86">
        <v>17.950477807461802</v>
      </c>
      <c r="P23" s="86"/>
      <c r="Q23" s="86">
        <v>2039</v>
      </c>
      <c r="R23" s="86">
        <v>14512.912992485428</v>
      </c>
      <c r="S23" s="86">
        <v>15015.526371094356</v>
      </c>
      <c r="T23" s="86">
        <v>502.61337860893047</v>
      </c>
      <c r="U23" s="86"/>
      <c r="V23" s="86">
        <v>2039</v>
      </c>
      <c r="W23" s="86">
        <v>19.153993935809815</v>
      </c>
      <c r="X23" s="86">
        <v>20.680461708427266</v>
      </c>
      <c r="Y23" s="86">
        <v>1.5264677726174511</v>
      </c>
      <c r="Z23" s="86"/>
      <c r="AA23" s="86">
        <v>2039</v>
      </c>
      <c r="AB23" s="86">
        <v>5075.8083929896011</v>
      </c>
      <c r="AC23" s="86">
        <v>5480.3223527332257</v>
      </c>
      <c r="AD23" s="86">
        <v>404.51395974362458</v>
      </c>
      <c r="AE23" s="86"/>
      <c r="AF23" s="86">
        <v>2039</v>
      </c>
      <c r="AG23" s="86">
        <v>725.92098454106031</v>
      </c>
      <c r="AH23" s="86">
        <v>725.92098454106031</v>
      </c>
      <c r="AI23" s="86">
        <v>0</v>
      </c>
    </row>
    <row r="24" spans="2:35" x14ac:dyDescent="0.35">
      <c r="B24">
        <v>2040</v>
      </c>
      <c r="C24" s="86">
        <v>51944.639600929455</v>
      </c>
      <c r="D24" s="86">
        <v>59972.258455607713</v>
      </c>
      <c r="E24" s="86">
        <v>8027.6188546782578</v>
      </c>
      <c r="F24" s="86"/>
      <c r="G24" s="86">
        <v>2040</v>
      </c>
      <c r="H24" s="86">
        <v>31395.312539884584</v>
      </c>
      <c r="I24" s="86">
        <v>38514.312923234844</v>
      </c>
      <c r="J24" s="86">
        <v>7119.000383350256</v>
      </c>
      <c r="K24" s="86"/>
      <c r="L24" s="86">
        <v>2040</v>
      </c>
      <c r="M24" s="86">
        <v>519.56138618325519</v>
      </c>
      <c r="N24" s="86">
        <v>537.50697271617469</v>
      </c>
      <c r="O24" s="86">
        <v>17.945586532919549</v>
      </c>
      <c r="P24" s="86"/>
      <c r="Q24" s="86">
        <v>2040</v>
      </c>
      <c r="R24" s="86">
        <v>14547.718813131145</v>
      </c>
      <c r="S24" s="86">
        <v>15050.195236052892</v>
      </c>
      <c r="T24" s="86">
        <v>502.47642292174737</v>
      </c>
      <c r="U24" s="86"/>
      <c r="V24" s="86">
        <v>2040</v>
      </c>
      <c r="W24" s="86">
        <v>19.163107394393293</v>
      </c>
      <c r="X24" s="86">
        <v>20.695718897813123</v>
      </c>
      <c r="Y24" s="86">
        <v>1.532611503419828</v>
      </c>
      <c r="Z24" s="86"/>
      <c r="AA24" s="86">
        <v>2040</v>
      </c>
      <c r="AB24" s="86">
        <v>5078.2234595142227</v>
      </c>
      <c r="AC24" s="86">
        <v>5484.3655079204773</v>
      </c>
      <c r="AD24" s="86">
        <v>406.14204840625445</v>
      </c>
      <c r="AE24" s="86"/>
      <c r="AF24" s="86">
        <v>2040</v>
      </c>
      <c r="AG24" s="86">
        <v>752.53072815851908</v>
      </c>
      <c r="AH24" s="86">
        <v>752.53072815851908</v>
      </c>
      <c r="AI24" s="86">
        <v>0</v>
      </c>
    </row>
    <row r="26" spans="2:35" x14ac:dyDescent="0.35">
      <c r="H26" s="2">
        <f>SUM(H34:H38)/1000</f>
        <v>28.347169267618824</v>
      </c>
      <c r="I26" s="86">
        <v>276</v>
      </c>
      <c r="J26" s="2">
        <f>SUM(H26:I26)</f>
        <v>304.34716926761882</v>
      </c>
    </row>
    <row r="27" spans="2:35" x14ac:dyDescent="0.35">
      <c r="H27" s="2">
        <f>SUM(H39:H43)/1000</f>
        <v>30.554825182649523</v>
      </c>
      <c r="I27" s="86">
        <v>190</v>
      </c>
      <c r="J27" s="2">
        <f t="shared" ref="J27:J28" si="0">SUM(H27:I27)</f>
        <v>220.55482518264952</v>
      </c>
    </row>
    <row r="28" spans="2:35" x14ac:dyDescent="0.35">
      <c r="H28" s="2">
        <f>SUM(H44:H48)/1000</f>
        <v>40.52244909187641</v>
      </c>
      <c r="I28" s="86">
        <v>143</v>
      </c>
      <c r="J28" s="2">
        <f t="shared" si="0"/>
        <v>183.52244909187641</v>
      </c>
    </row>
    <row r="30" spans="2:35" x14ac:dyDescent="0.35">
      <c r="C30">
        <f>C53/10</f>
        <v>3139.5312539884585</v>
      </c>
      <c r="D30" s="88">
        <f>WAM!I1</f>
        <v>0</v>
      </c>
      <c r="E30" s="88">
        <f>D30</f>
        <v>0</v>
      </c>
      <c r="F30">
        <f>F53/10</f>
        <v>75.253072815851908</v>
      </c>
      <c r="H30">
        <f>H53/10</f>
        <v>802.76188546782578</v>
      </c>
      <c r="N30" t="s">
        <v>279</v>
      </c>
    </row>
    <row r="31" spans="2:35" s="103" customFormat="1" ht="72.5" x14ac:dyDescent="0.35">
      <c r="B31" s="103" t="s">
        <v>1</v>
      </c>
      <c r="C31" s="103" t="s">
        <v>2</v>
      </c>
      <c r="D31" s="103" t="s">
        <v>3</v>
      </c>
      <c r="E31" s="103" t="s">
        <v>4</v>
      </c>
      <c r="F31" s="103" t="str">
        <f>AF1</f>
        <v>Other Gases</v>
      </c>
      <c r="H31" s="75" t="str">
        <f>E1</f>
        <v xml:space="preserve">    4. Land Use, Land-Use Change and Forestry (LULUCF, reported emissions and removals) (9)</v>
      </c>
      <c r="I31" s="103" t="s">
        <v>295</v>
      </c>
      <c r="J31" s="103" t="s">
        <v>294</v>
      </c>
      <c r="M31" s="103" t="str">
        <f>B31</f>
        <v>Year</v>
      </c>
      <c r="N31" s="103" t="s">
        <v>2</v>
      </c>
      <c r="O31" s="103" t="s">
        <v>3</v>
      </c>
      <c r="P31" s="103" t="s">
        <v>4</v>
      </c>
    </row>
    <row r="32" spans="2:35" x14ac:dyDescent="0.35">
      <c r="B32">
        <f>B3</f>
        <v>2019</v>
      </c>
      <c r="C32" s="86">
        <f>H3</f>
        <v>37275.318574994424</v>
      </c>
      <c r="D32" s="86">
        <f>M3</f>
        <v>589.22091624152586</v>
      </c>
      <c r="E32" s="86">
        <f>W3</f>
        <v>23.004457248979733</v>
      </c>
      <c r="F32" s="86">
        <f>AG3</f>
        <v>826.47850637916281</v>
      </c>
      <c r="H32" s="86">
        <f>E3</f>
        <v>4449.6067555464479</v>
      </c>
      <c r="I32" s="86">
        <f>H32+F32</f>
        <v>5276.0852619256111</v>
      </c>
      <c r="J32" s="86">
        <f>I32+C32</f>
        <v>42551.403836920035</v>
      </c>
      <c r="M32" s="103">
        <f t="shared" ref="M32:M59" si="1">B32</f>
        <v>2019</v>
      </c>
      <c r="N32" s="86">
        <f>J3</f>
        <v>3619.7231938846935</v>
      </c>
      <c r="O32" s="86">
        <f>O3</f>
        <v>17.008581781500091</v>
      </c>
      <c r="P32" s="86">
        <f>Y3</f>
        <v>1.33450291237642</v>
      </c>
      <c r="Q32" s="86">
        <f>N32+O32*28+P32*265</f>
        <v>4449.6067555464479</v>
      </c>
    </row>
    <row r="33" spans="2:17" x14ac:dyDescent="0.35">
      <c r="B33">
        <f t="shared" ref="B33:B53" si="2">B4</f>
        <v>2020</v>
      </c>
      <c r="C33" s="86">
        <f t="shared" ref="C33:C45" si="3">H4</f>
        <v>34542.225875388554</v>
      </c>
      <c r="D33" s="86">
        <f t="shared" ref="D33:D45" si="4">M4</f>
        <v>594.7303127174365</v>
      </c>
      <c r="E33" s="86">
        <f t="shared" ref="E33:E45" si="5">W4</f>
        <v>22.983973024124786</v>
      </c>
      <c r="F33" s="86">
        <f t="shared" ref="F33:F45" si="6">AG4</f>
        <v>790.66914419320142</v>
      </c>
      <c r="H33" s="86">
        <f t="shared" ref="H33:H45" si="7">E4</f>
        <v>4366.8170461436421</v>
      </c>
      <c r="I33" s="86">
        <f>H33+F33</f>
        <v>5157.4861903368437</v>
      </c>
      <c r="J33" s="86">
        <f t="shared" ref="J33:J63" si="8">I33+C33</f>
        <v>39699.712065725398</v>
      </c>
      <c r="M33" s="103">
        <f t="shared" si="1"/>
        <v>2020</v>
      </c>
      <c r="N33" s="86">
        <f t="shared" ref="N33:N53" si="9">J4</f>
        <v>3439.9425527783005</v>
      </c>
      <c r="O33" s="86">
        <f t="shared" ref="O33:O53" si="10">O4</f>
        <v>18.639269369753308</v>
      </c>
      <c r="P33" s="86">
        <f t="shared" ref="P33:P53" si="11">Y4</f>
        <v>1.5282073623103709</v>
      </c>
      <c r="Q33" s="86">
        <f t="shared" ref="Q33:Q53" si="12">N33+O33*28+P33*265</f>
        <v>4366.8170461436412</v>
      </c>
    </row>
    <row r="34" spans="2:17" x14ac:dyDescent="0.35">
      <c r="B34">
        <f t="shared" si="2"/>
        <v>2021</v>
      </c>
      <c r="C34" s="86">
        <f t="shared" si="3"/>
        <v>36453.943339321144</v>
      </c>
      <c r="D34" s="86">
        <f t="shared" si="4"/>
        <v>583.83889273555042</v>
      </c>
      <c r="E34" s="86">
        <f t="shared" si="5"/>
        <v>22.585600488491757</v>
      </c>
      <c r="F34" s="86">
        <f t="shared" si="6"/>
        <v>789.25934778315263</v>
      </c>
      <c r="H34" s="86">
        <f>E5</f>
        <v>4724.1320446148156</v>
      </c>
      <c r="I34" s="86">
        <f t="shared" ref="I34:I63" si="13">H34+F34</f>
        <v>5513.391392397968</v>
      </c>
      <c r="J34" s="86">
        <f t="shared" si="8"/>
        <v>41967.334731719115</v>
      </c>
      <c r="M34" s="103">
        <f t="shared" si="1"/>
        <v>2021</v>
      </c>
      <c r="N34" s="86">
        <f t="shared" si="9"/>
        <v>3795.7324760059346</v>
      </c>
      <c r="O34" s="86">
        <f t="shared" si="10"/>
        <v>18.49220913574559</v>
      </c>
      <c r="P34" s="86">
        <f t="shared" si="11"/>
        <v>1.5495008030490802</v>
      </c>
      <c r="Q34" s="86">
        <f t="shared" si="12"/>
        <v>4724.1320446148175</v>
      </c>
    </row>
    <row r="35" spans="2:17" x14ac:dyDescent="0.35">
      <c r="B35">
        <f t="shared" si="2"/>
        <v>2022</v>
      </c>
      <c r="C35" s="86">
        <f t="shared" si="3"/>
        <v>37060.309823916919</v>
      </c>
      <c r="D35" s="86">
        <f t="shared" si="4"/>
        <v>578.04438643499793</v>
      </c>
      <c r="E35" s="86">
        <f t="shared" si="5"/>
        <v>22.2630982380837</v>
      </c>
      <c r="F35" s="86">
        <f t="shared" si="6"/>
        <v>786.75722242712368</v>
      </c>
      <c r="H35" s="86">
        <f t="shared" si="7"/>
        <v>4883.6791328181398</v>
      </c>
      <c r="I35" s="86">
        <f t="shared" si="13"/>
        <v>5670.4363552452633</v>
      </c>
      <c r="J35" s="86">
        <f t="shared" si="8"/>
        <v>42730.746179162183</v>
      </c>
      <c r="M35" s="103">
        <f t="shared" si="1"/>
        <v>2022</v>
      </c>
      <c r="N35" s="86">
        <f t="shared" si="9"/>
        <v>3959.0028352263907</v>
      </c>
      <c r="O35" s="86">
        <f t="shared" si="10"/>
        <v>18.405889081469436</v>
      </c>
      <c r="P35" s="86">
        <f t="shared" si="11"/>
        <v>1.5445713332475612</v>
      </c>
      <c r="Q35" s="86">
        <f t="shared" si="12"/>
        <v>4883.6791328181389</v>
      </c>
    </row>
    <row r="36" spans="2:17" x14ac:dyDescent="0.35">
      <c r="B36">
        <f t="shared" si="2"/>
        <v>2023</v>
      </c>
      <c r="C36" s="86">
        <f t="shared" si="3"/>
        <v>36684.562983494739</v>
      </c>
      <c r="D36" s="86">
        <f t="shared" si="4"/>
        <v>574.60283572353649</v>
      </c>
      <c r="E36" s="86">
        <f t="shared" si="5"/>
        <v>21.964318484345277</v>
      </c>
      <c r="F36" s="86">
        <f t="shared" si="6"/>
        <v>774.79836306748382</v>
      </c>
      <c r="H36" s="86">
        <f t="shared" si="7"/>
        <v>6704.3872706406955</v>
      </c>
      <c r="I36" s="86">
        <f t="shared" si="13"/>
        <v>7479.185633708179</v>
      </c>
      <c r="J36" s="86">
        <f t="shared" si="8"/>
        <v>44163.748617202917</v>
      </c>
      <c r="M36" s="103">
        <f t="shared" si="1"/>
        <v>2023</v>
      </c>
      <c r="N36" s="86">
        <f t="shared" si="9"/>
        <v>5781.878600279033</v>
      </c>
      <c r="O36" s="86">
        <f t="shared" si="10"/>
        <v>18.36489819313875</v>
      </c>
      <c r="P36" s="86">
        <f t="shared" si="11"/>
        <v>1.540722720580288</v>
      </c>
      <c r="Q36" s="86">
        <f t="shared" si="12"/>
        <v>6704.3872706406937</v>
      </c>
    </row>
    <row r="37" spans="2:17" x14ac:dyDescent="0.35">
      <c r="B37">
        <f t="shared" si="2"/>
        <v>2024</v>
      </c>
      <c r="C37" s="86">
        <f t="shared" si="3"/>
        <v>35395.418593839466</v>
      </c>
      <c r="D37" s="86">
        <f t="shared" si="4"/>
        <v>568.56205420313461</v>
      </c>
      <c r="E37" s="86">
        <f t="shared" si="5"/>
        <v>21.549354148568323</v>
      </c>
      <c r="F37" s="86">
        <f t="shared" si="6"/>
        <v>775.41264960721946</v>
      </c>
      <c r="H37" s="86">
        <f t="shared" si="7"/>
        <v>5859.1483874261994</v>
      </c>
      <c r="I37" s="86">
        <f t="shared" si="13"/>
        <v>6634.5610370334189</v>
      </c>
      <c r="J37" s="86">
        <f t="shared" si="8"/>
        <v>42029.979630872884</v>
      </c>
      <c r="M37" s="103">
        <f t="shared" si="1"/>
        <v>2024</v>
      </c>
      <c r="N37" s="86">
        <f t="shared" si="9"/>
        <v>4939.3520561045161</v>
      </c>
      <c r="O37" s="86">
        <f t="shared" si="10"/>
        <v>18.303224611871194</v>
      </c>
      <c r="P37" s="86">
        <f t="shared" si="11"/>
        <v>1.5370039327897644</v>
      </c>
      <c r="Q37" s="86">
        <f t="shared" si="12"/>
        <v>5859.1483874261976</v>
      </c>
    </row>
    <row r="38" spans="2:17" x14ac:dyDescent="0.35">
      <c r="B38">
        <f t="shared" si="2"/>
        <v>2025</v>
      </c>
      <c r="C38" s="86">
        <f t="shared" si="3"/>
        <v>34051.647470446602</v>
      </c>
      <c r="D38" s="86">
        <f t="shared" si="4"/>
        <v>560.52726293969295</v>
      </c>
      <c r="E38" s="86">
        <f t="shared" si="5"/>
        <v>21.149510496186299</v>
      </c>
      <c r="F38" s="86">
        <f t="shared" si="6"/>
        <v>780.1963580096234</v>
      </c>
      <c r="H38" s="86">
        <f t="shared" si="7"/>
        <v>6175.8224321189782</v>
      </c>
      <c r="I38" s="86">
        <f t="shared" si="13"/>
        <v>6956.0187901286017</v>
      </c>
      <c r="J38" s="86">
        <f t="shared" si="8"/>
        <v>41007.666260575206</v>
      </c>
      <c r="M38" s="103">
        <f t="shared" si="1"/>
        <v>2025</v>
      </c>
      <c r="N38" s="86">
        <f t="shared" si="9"/>
        <v>5258.7750812763861</v>
      </c>
      <c r="O38" s="86">
        <f t="shared" si="10"/>
        <v>18.237080107466866</v>
      </c>
      <c r="P38" s="86">
        <f t="shared" si="11"/>
        <v>1.5336192748434627</v>
      </c>
      <c r="Q38" s="86">
        <f t="shared" si="12"/>
        <v>6175.8224321189764</v>
      </c>
    </row>
    <row r="39" spans="2:17" x14ac:dyDescent="0.35">
      <c r="B39">
        <f t="shared" si="2"/>
        <v>2026</v>
      </c>
      <c r="C39" s="86">
        <f t="shared" si="3"/>
        <v>31806.896330940206</v>
      </c>
      <c r="D39" s="86">
        <f t="shared" si="4"/>
        <v>550.36766728215014</v>
      </c>
      <c r="E39" s="86">
        <f t="shared" si="5"/>
        <v>20.657539633650593</v>
      </c>
      <c r="F39" s="86">
        <f t="shared" si="6"/>
        <v>745.6819223591483</v>
      </c>
      <c r="H39" s="86">
        <f t="shared" si="7"/>
        <v>5384.543087216085</v>
      </c>
      <c r="I39" s="86">
        <f t="shared" si="13"/>
        <v>6130.2250095752333</v>
      </c>
      <c r="J39" s="86">
        <f t="shared" si="8"/>
        <v>37937.121340515441</v>
      </c>
      <c r="M39" s="103">
        <f t="shared" si="1"/>
        <v>2026</v>
      </c>
      <c r="N39" s="86">
        <f t="shared" si="9"/>
        <v>4463.8719944199802</v>
      </c>
      <c r="O39" s="86">
        <f t="shared" si="10"/>
        <v>18.221848656805818</v>
      </c>
      <c r="P39" s="86">
        <f t="shared" si="11"/>
        <v>1.5489031336058088</v>
      </c>
      <c r="Q39" s="86">
        <f t="shared" si="12"/>
        <v>5384.5430872160832</v>
      </c>
    </row>
    <row r="40" spans="2:17" x14ac:dyDescent="0.35">
      <c r="B40">
        <f t="shared" si="2"/>
        <v>2027</v>
      </c>
      <c r="C40" s="86">
        <f t="shared" si="3"/>
        <v>31279.665472497494</v>
      </c>
      <c r="D40" s="86">
        <f t="shared" si="4"/>
        <v>540.64817881673571</v>
      </c>
      <c r="E40" s="86">
        <f t="shared" si="5"/>
        <v>20.278428563695599</v>
      </c>
      <c r="F40" s="86">
        <f t="shared" si="6"/>
        <v>729.97165537568742</v>
      </c>
      <c r="H40" s="86">
        <f t="shared" si="7"/>
        <v>5861.2415175582109</v>
      </c>
      <c r="I40" s="86">
        <f t="shared" si="13"/>
        <v>6591.213172933898</v>
      </c>
      <c r="J40" s="86">
        <f t="shared" si="8"/>
        <v>37870.878645431396</v>
      </c>
      <c r="M40" s="103">
        <f t="shared" si="1"/>
        <v>2027</v>
      </c>
      <c r="N40" s="86">
        <f t="shared" si="9"/>
        <v>4936.2189904964498</v>
      </c>
      <c r="O40" s="86">
        <f t="shared" si="10"/>
        <v>18.172123911925695</v>
      </c>
      <c r="P40" s="86">
        <f t="shared" si="11"/>
        <v>1.5705775755767535</v>
      </c>
      <c r="Q40" s="86">
        <f t="shared" si="12"/>
        <v>5861.2415175582091</v>
      </c>
    </row>
    <row r="41" spans="2:17" x14ac:dyDescent="0.35">
      <c r="B41">
        <f t="shared" si="2"/>
        <v>2028</v>
      </c>
      <c r="C41" s="86">
        <f t="shared" si="3"/>
        <v>29930.704039628825</v>
      </c>
      <c r="D41" s="86">
        <f t="shared" si="4"/>
        <v>529.61966802894005</v>
      </c>
      <c r="E41" s="86">
        <f t="shared" si="5"/>
        <v>19.840267160055493</v>
      </c>
      <c r="F41" s="86">
        <f t="shared" si="6"/>
        <v>702.87738972440968</v>
      </c>
      <c r="H41" s="86">
        <f t="shared" si="7"/>
        <v>5950.1971305059433</v>
      </c>
      <c r="I41" s="86">
        <f t="shared" si="13"/>
        <v>6653.0745202303533</v>
      </c>
      <c r="J41" s="86">
        <f t="shared" si="8"/>
        <v>36583.77855985918</v>
      </c>
      <c r="M41" s="103">
        <f t="shared" si="1"/>
        <v>2028</v>
      </c>
      <c r="N41" s="86">
        <f t="shared" si="9"/>
        <v>5029.1014682996702</v>
      </c>
      <c r="O41" s="86">
        <f t="shared" si="10"/>
        <v>18.117729208381938</v>
      </c>
      <c r="P41" s="86">
        <f t="shared" si="11"/>
        <v>1.561506582534264</v>
      </c>
      <c r="Q41" s="86">
        <f t="shared" si="12"/>
        <v>5950.1971305059442</v>
      </c>
    </row>
    <row r="42" spans="2:17" x14ac:dyDescent="0.35">
      <c r="B42">
        <f t="shared" si="2"/>
        <v>2029</v>
      </c>
      <c r="C42" s="86">
        <f t="shared" si="3"/>
        <v>29205.127696127027</v>
      </c>
      <c r="D42" s="86">
        <f t="shared" si="4"/>
        <v>518.35836578488602</v>
      </c>
      <c r="E42" s="86">
        <f t="shared" si="5"/>
        <v>19.42951746153328</v>
      </c>
      <c r="F42" s="86">
        <f t="shared" si="6"/>
        <v>686.56593151808443</v>
      </c>
      <c r="H42" s="86">
        <f t="shared" si="7"/>
        <v>6266.4641918756952</v>
      </c>
      <c r="I42" s="86">
        <f t="shared" si="13"/>
        <v>6953.0301233937798</v>
      </c>
      <c r="J42" s="86">
        <f t="shared" si="8"/>
        <v>36158.157819520806</v>
      </c>
      <c r="M42" s="103">
        <f t="shared" si="1"/>
        <v>2029</v>
      </c>
      <c r="N42" s="86">
        <f t="shared" si="9"/>
        <v>5348.5802893760938</v>
      </c>
      <c r="O42" s="86">
        <f t="shared" si="10"/>
        <v>18.058753700568378</v>
      </c>
      <c r="P42" s="86">
        <f t="shared" si="11"/>
        <v>1.5556181089950394</v>
      </c>
      <c r="Q42" s="86">
        <f t="shared" si="12"/>
        <v>6266.4641918756934</v>
      </c>
    </row>
    <row r="43" spans="2:17" x14ac:dyDescent="0.35">
      <c r="B43">
        <f t="shared" si="2"/>
        <v>2030</v>
      </c>
      <c r="C43" s="86">
        <f t="shared" si="3"/>
        <v>28631.68521601817</v>
      </c>
      <c r="D43" s="86">
        <f t="shared" si="4"/>
        <v>507.14823688842262</v>
      </c>
      <c r="E43" s="86">
        <f t="shared" si="5"/>
        <v>19.050040558681378</v>
      </c>
      <c r="F43" s="86">
        <f t="shared" si="6"/>
        <v>683.10910323668645</v>
      </c>
      <c r="H43" s="86">
        <f t="shared" si="7"/>
        <v>7092.3792554935826</v>
      </c>
      <c r="I43" s="86">
        <f t="shared" si="13"/>
        <v>7775.4883587302693</v>
      </c>
      <c r="J43" s="86">
        <f t="shared" si="8"/>
        <v>36407.173574748442</v>
      </c>
      <c r="M43" s="103">
        <f t="shared" si="1"/>
        <v>2030</v>
      </c>
      <c r="N43" s="86">
        <f t="shared" si="9"/>
        <v>6184.3028682635031</v>
      </c>
      <c r="O43" s="86">
        <f t="shared" si="10"/>
        <v>17.995233314183288</v>
      </c>
      <c r="P43" s="86">
        <f t="shared" si="11"/>
        <v>1.5253202054073434</v>
      </c>
      <c r="Q43" s="86">
        <f t="shared" si="12"/>
        <v>7092.3792554935808</v>
      </c>
    </row>
    <row r="44" spans="2:17" x14ac:dyDescent="0.35">
      <c r="B44">
        <f t="shared" si="2"/>
        <v>2031</v>
      </c>
      <c r="C44" s="86">
        <f t="shared" si="3"/>
        <v>28993.372666719864</v>
      </c>
      <c r="D44" s="86">
        <f t="shared" si="4"/>
        <v>508.44005447261674</v>
      </c>
      <c r="E44" s="86">
        <f t="shared" si="5"/>
        <v>19.080954359167126</v>
      </c>
      <c r="F44" s="86">
        <f t="shared" si="6"/>
        <v>599.39287731568822</v>
      </c>
      <c r="H44" s="86">
        <f t="shared" si="7"/>
        <v>7539.8165957191322</v>
      </c>
      <c r="I44" s="86">
        <f t="shared" si="13"/>
        <v>8139.2094730348208</v>
      </c>
      <c r="J44" s="86">
        <f t="shared" si="8"/>
        <v>37132.582139754682</v>
      </c>
      <c r="M44" s="103">
        <f t="shared" si="1"/>
        <v>2031</v>
      </c>
      <c r="N44" s="86">
        <f t="shared" si="9"/>
        <v>6647.4672840893127</v>
      </c>
      <c r="O44" s="86">
        <f t="shared" si="10"/>
        <v>17.990208633058771</v>
      </c>
      <c r="P44" s="86">
        <f t="shared" si="11"/>
        <v>1.4665036600157475</v>
      </c>
      <c r="Q44" s="86">
        <f t="shared" si="12"/>
        <v>7539.8165957191313</v>
      </c>
    </row>
    <row r="45" spans="2:17" x14ac:dyDescent="0.35">
      <c r="B45">
        <f t="shared" si="2"/>
        <v>2032</v>
      </c>
      <c r="C45" s="86">
        <f t="shared" si="3"/>
        <v>28751.076059953175</v>
      </c>
      <c r="D45" s="86">
        <f t="shared" si="4"/>
        <v>509.62383108523693</v>
      </c>
      <c r="E45" s="86">
        <f t="shared" si="5"/>
        <v>19.057902924445575</v>
      </c>
      <c r="F45" s="86">
        <f t="shared" si="6"/>
        <v>601.57256650784984</v>
      </c>
      <c r="H45" s="86">
        <f t="shared" si="7"/>
        <v>8040.4528108731465</v>
      </c>
      <c r="I45" s="86">
        <f t="shared" si="13"/>
        <v>8642.0253773809964</v>
      </c>
      <c r="J45" s="86">
        <f t="shared" si="8"/>
        <v>37393.101437334175</v>
      </c>
      <c r="M45" s="103">
        <f t="shared" si="1"/>
        <v>2032</v>
      </c>
      <c r="N45" s="86">
        <f t="shared" si="9"/>
        <v>7142.85581236283</v>
      </c>
      <c r="O45" s="86">
        <f t="shared" si="10"/>
        <v>17.985184599265068</v>
      </c>
      <c r="P45" s="86">
        <f t="shared" si="11"/>
        <v>1.4868370933241279</v>
      </c>
      <c r="Q45" s="86">
        <f t="shared" si="12"/>
        <v>8040.4528108731456</v>
      </c>
    </row>
    <row r="46" spans="2:17" x14ac:dyDescent="0.35">
      <c r="B46">
        <f t="shared" si="2"/>
        <v>2033</v>
      </c>
      <c r="C46" s="86">
        <f t="shared" ref="C46:C48" si="14">H17</f>
        <v>28813.698636327448</v>
      </c>
      <c r="D46" s="86">
        <f t="shared" ref="D46:D48" si="15">M17</f>
        <v>510.94099386105921</v>
      </c>
      <c r="E46" s="86">
        <f t="shared" ref="E46:E48" si="16">W17</f>
        <v>19.063571295598422</v>
      </c>
      <c r="F46" s="86">
        <f t="shared" ref="F46:F48" si="17">AG17</f>
        <v>605.26626220952051</v>
      </c>
      <c r="H46" s="86">
        <f t="shared" ref="H46:H48" si="18">E17</f>
        <v>7945.2351557532847</v>
      </c>
      <c r="I46" s="86">
        <f t="shared" si="13"/>
        <v>8550.5014179628051</v>
      </c>
      <c r="J46" s="86">
        <f t="shared" si="8"/>
        <v>37364.200054290253</v>
      </c>
      <c r="M46" s="103">
        <f t="shared" si="1"/>
        <v>2033</v>
      </c>
      <c r="N46" s="86">
        <f t="shared" si="9"/>
        <v>7061.829653521404</v>
      </c>
      <c r="O46" s="86">
        <f t="shared" si="10"/>
        <v>17.980166283359573</v>
      </c>
      <c r="P46" s="86">
        <f t="shared" si="11"/>
        <v>1.4338145143313721</v>
      </c>
      <c r="Q46" s="86">
        <f t="shared" si="12"/>
        <v>7945.2351557532857</v>
      </c>
    </row>
    <row r="47" spans="2:17" x14ac:dyDescent="0.35">
      <c r="B47">
        <f t="shared" si="2"/>
        <v>2034</v>
      </c>
      <c r="C47" s="86">
        <f t="shared" si="14"/>
        <v>29421.900913743058</v>
      </c>
      <c r="D47" s="86">
        <f t="shared" si="15"/>
        <v>512.36918056843842</v>
      </c>
      <c r="E47" s="86">
        <f t="shared" si="16"/>
        <v>19.089487734951707</v>
      </c>
      <c r="F47" s="86">
        <f t="shared" si="17"/>
        <v>621.21874012937303</v>
      </c>
      <c r="H47" s="86">
        <f t="shared" si="18"/>
        <v>8681.6232603069147</v>
      </c>
      <c r="I47" s="86">
        <f t="shared" si="13"/>
        <v>9302.842000436287</v>
      </c>
      <c r="J47" s="86">
        <f t="shared" si="8"/>
        <v>38724.742914179347</v>
      </c>
      <c r="M47" s="103">
        <f t="shared" si="1"/>
        <v>2034</v>
      </c>
      <c r="N47" s="86">
        <f t="shared" si="9"/>
        <v>7792.9696213725965</v>
      </c>
      <c r="O47" s="86">
        <f t="shared" si="10"/>
        <v>17.975157970136785</v>
      </c>
      <c r="P47" s="86">
        <f t="shared" si="11"/>
        <v>1.4541479840395732</v>
      </c>
      <c r="Q47" s="86">
        <f t="shared" si="12"/>
        <v>8681.6232603069147</v>
      </c>
    </row>
    <row r="48" spans="2:17" x14ac:dyDescent="0.35">
      <c r="B48">
        <f t="shared" si="2"/>
        <v>2035</v>
      </c>
      <c r="C48" s="86">
        <f t="shared" si="14"/>
        <v>30157.911874032372</v>
      </c>
      <c r="D48" s="86">
        <f t="shared" si="15"/>
        <v>513.88704784276376</v>
      </c>
      <c r="E48" s="86">
        <f t="shared" si="16"/>
        <v>19.13849913108135</v>
      </c>
      <c r="F48" s="86">
        <f t="shared" si="17"/>
        <v>638.83391895739578</v>
      </c>
      <c r="H48" s="86">
        <f t="shared" si="18"/>
        <v>8315.3212692239358</v>
      </c>
      <c r="I48" s="86">
        <f t="shared" si="13"/>
        <v>8954.1551881813321</v>
      </c>
      <c r="J48" s="86">
        <f t="shared" si="8"/>
        <v>39112.067062213704</v>
      </c>
      <c r="M48" s="103">
        <f t="shared" si="1"/>
        <v>2035</v>
      </c>
      <c r="N48" s="86">
        <f t="shared" si="9"/>
        <v>7421.423320220696</v>
      </c>
      <c r="O48" s="86">
        <f t="shared" si="10"/>
        <v>17.970197700261718</v>
      </c>
      <c r="P48" s="86">
        <f t="shared" si="11"/>
        <v>1.4744619373430545</v>
      </c>
      <c r="Q48" s="86">
        <f t="shared" si="12"/>
        <v>8315.321269223934</v>
      </c>
    </row>
    <row r="49" spans="2:17" x14ac:dyDescent="0.35">
      <c r="B49">
        <f t="shared" si="2"/>
        <v>2036</v>
      </c>
      <c r="C49" s="86">
        <f t="shared" ref="C49:C51" si="19">H20</f>
        <v>30127.937744167091</v>
      </c>
      <c r="D49" s="86">
        <f t="shared" ref="D49:D51" si="20">M20</f>
        <v>514.84044882840419</v>
      </c>
      <c r="E49" s="86">
        <f t="shared" ref="E49:E51" si="21">W20</f>
        <v>19.124297380356605</v>
      </c>
      <c r="F49" s="86">
        <f t="shared" ref="F49:F51" si="22">AG20</f>
        <v>656.44795547793831</v>
      </c>
      <c r="H49" s="86">
        <f t="shared" ref="H49:H51" si="23">E20</f>
        <v>8718.4306145438168</v>
      </c>
      <c r="I49" s="86">
        <f t="shared" si="13"/>
        <v>9374.8785700217559</v>
      </c>
      <c r="J49" s="86">
        <f t="shared" si="8"/>
        <v>39502.816314188851</v>
      </c>
      <c r="M49" s="103">
        <f t="shared" si="1"/>
        <v>2036</v>
      </c>
      <c r="N49" s="86">
        <f t="shared" si="9"/>
        <v>7825.7610286651934</v>
      </c>
      <c r="O49" s="86">
        <f t="shared" si="10"/>
        <v>17.965253975603364</v>
      </c>
      <c r="P49" s="86">
        <f t="shared" si="11"/>
        <v>1.4703489606102897</v>
      </c>
      <c r="Q49" s="86">
        <f t="shared" si="12"/>
        <v>8718.4306145438131</v>
      </c>
    </row>
    <row r="50" spans="2:17" x14ac:dyDescent="0.35">
      <c r="B50">
        <f t="shared" si="2"/>
        <v>2037</v>
      </c>
      <c r="C50" s="86">
        <f t="shared" si="19"/>
        <v>30567.848906406442</v>
      </c>
      <c r="D50" s="86">
        <f t="shared" si="20"/>
        <v>515.98174847674159</v>
      </c>
      <c r="E50" s="86">
        <f t="shared" si="21"/>
        <v>19.141829848980127</v>
      </c>
      <c r="F50" s="86">
        <f t="shared" si="22"/>
        <v>673.41854965123105</v>
      </c>
      <c r="H50" s="86">
        <f t="shared" si="23"/>
        <v>8708.9331147487374</v>
      </c>
      <c r="I50" s="86">
        <f t="shared" si="13"/>
        <v>9382.3516643999683</v>
      </c>
      <c r="J50" s="86">
        <f t="shared" si="8"/>
        <v>39950.20057080641</v>
      </c>
      <c r="M50" s="103">
        <f t="shared" si="1"/>
        <v>2037</v>
      </c>
      <c r="N50" s="86">
        <f t="shared" si="9"/>
        <v>7811.2647363183914</v>
      </c>
      <c r="O50" s="86">
        <f t="shared" si="10"/>
        <v>17.960318883592894</v>
      </c>
      <c r="P50" s="86">
        <f t="shared" si="11"/>
        <v>1.4897337724141342</v>
      </c>
      <c r="Q50" s="86">
        <f t="shared" si="12"/>
        <v>8708.9331147487392</v>
      </c>
    </row>
    <row r="51" spans="2:17" x14ac:dyDescent="0.35">
      <c r="B51">
        <f t="shared" si="2"/>
        <v>2038</v>
      </c>
      <c r="C51" s="86">
        <f t="shared" si="19"/>
        <v>31383.261871715684</v>
      </c>
      <c r="D51" s="86">
        <f t="shared" si="20"/>
        <v>517.20791300392284</v>
      </c>
      <c r="E51" s="86">
        <f t="shared" si="21"/>
        <v>19.17419036496414</v>
      </c>
      <c r="F51" s="86">
        <f t="shared" si="22"/>
        <v>698.32957764260118</v>
      </c>
      <c r="H51" s="86">
        <f t="shared" si="23"/>
        <v>7843.4186825007473</v>
      </c>
      <c r="I51" s="86">
        <f t="shared" si="13"/>
        <v>8541.7482601433476</v>
      </c>
      <c r="J51" s="86">
        <f t="shared" si="8"/>
        <v>39925.010131859031</v>
      </c>
      <c r="M51" s="103">
        <f t="shared" si="1"/>
        <v>2038</v>
      </c>
      <c r="N51" s="86">
        <f t="shared" si="9"/>
        <v>6941.3857937331741</v>
      </c>
      <c r="O51" s="86">
        <f t="shared" si="10"/>
        <v>17.955392463880042</v>
      </c>
      <c r="P51" s="86">
        <f t="shared" si="11"/>
        <v>1.5067241501091713</v>
      </c>
      <c r="Q51" s="86">
        <f t="shared" si="12"/>
        <v>7843.4186825007455</v>
      </c>
    </row>
    <row r="52" spans="2:17" x14ac:dyDescent="0.35">
      <c r="B52">
        <f t="shared" si="2"/>
        <v>2039</v>
      </c>
      <c r="C52" s="86">
        <f t="shared" ref="C52:C53" si="24">H23</f>
        <v>31014.186815120134</v>
      </c>
      <c r="D52" s="86">
        <f t="shared" ref="D52:D53" si="25">M23</f>
        <v>518.31832116019382</v>
      </c>
      <c r="E52" s="86">
        <f t="shared" ref="E52:E53" si="26">W23</f>
        <v>19.153993935809815</v>
      </c>
      <c r="F52" s="86">
        <f t="shared" ref="F52:F53" si="27">AG23</f>
        <v>725.92098454106031</v>
      </c>
      <c r="H52" s="86">
        <f t="shared" ref="H52:H53" si="28">E23</f>
        <v>8018.522924630035</v>
      </c>
      <c r="I52" s="86">
        <f t="shared" si="13"/>
        <v>8744.4439091710956</v>
      </c>
      <c r="J52" s="86">
        <f t="shared" si="8"/>
        <v>39758.63072429123</v>
      </c>
      <c r="M52" s="103">
        <f t="shared" si="1"/>
        <v>2039</v>
      </c>
      <c r="N52" s="86">
        <f t="shared" si="9"/>
        <v>7111.3955862774783</v>
      </c>
      <c r="O52" s="86">
        <f t="shared" si="10"/>
        <v>17.950477807461802</v>
      </c>
      <c r="P52" s="86">
        <f t="shared" si="11"/>
        <v>1.5264677726174511</v>
      </c>
      <c r="Q52" s="86">
        <f t="shared" si="12"/>
        <v>8018.5229246300332</v>
      </c>
    </row>
    <row r="53" spans="2:17" x14ac:dyDescent="0.35">
      <c r="B53">
        <f t="shared" si="2"/>
        <v>2040</v>
      </c>
      <c r="C53" s="86">
        <f t="shared" si="24"/>
        <v>31395.312539884584</v>
      </c>
      <c r="D53" s="86">
        <f t="shared" si="25"/>
        <v>519.56138618325519</v>
      </c>
      <c r="E53" s="86">
        <f t="shared" si="26"/>
        <v>19.163107394393293</v>
      </c>
      <c r="F53" s="86">
        <f t="shared" si="27"/>
        <v>752.53072815851908</v>
      </c>
      <c r="H53" s="86">
        <f t="shared" si="28"/>
        <v>8027.6188546782578</v>
      </c>
      <c r="I53" s="86">
        <f t="shared" si="13"/>
        <v>8780.149582836777</v>
      </c>
      <c r="J53" s="86">
        <f t="shared" si="8"/>
        <v>40175.462122721365</v>
      </c>
      <c r="M53" s="103">
        <f t="shared" si="1"/>
        <v>2040</v>
      </c>
      <c r="N53" s="86">
        <f t="shared" si="9"/>
        <v>7119.000383350256</v>
      </c>
      <c r="O53" s="86">
        <f t="shared" si="10"/>
        <v>17.945586532919549</v>
      </c>
      <c r="P53" s="86">
        <f t="shared" si="11"/>
        <v>1.532611503419828</v>
      </c>
      <c r="Q53" s="86">
        <f t="shared" si="12"/>
        <v>8027.6188546782578</v>
      </c>
    </row>
    <row r="54" spans="2:17" x14ac:dyDescent="0.35">
      <c r="B54">
        <f>B53+1</f>
        <v>2041</v>
      </c>
      <c r="C54" s="86">
        <f t="shared" ref="C54:C63" si="29">$C53-C$30</f>
        <v>28255.781285896126</v>
      </c>
      <c r="D54" s="86">
        <f>D53*(1-D$30)</f>
        <v>519.56138618325519</v>
      </c>
      <c r="E54" s="86">
        <f>E53*(1-E$30)</f>
        <v>19.163107394393293</v>
      </c>
      <c r="F54" s="86">
        <f>$F53-F$30</f>
        <v>677.27765534266723</v>
      </c>
      <c r="H54" s="86">
        <f>$H53-H$30</f>
        <v>7224.856969210432</v>
      </c>
      <c r="I54" s="86">
        <f t="shared" si="13"/>
        <v>7902.1346245530995</v>
      </c>
      <c r="J54" s="86">
        <f t="shared" si="8"/>
        <v>36157.915910449228</v>
      </c>
      <c r="M54" s="103">
        <f t="shared" si="1"/>
        <v>2041</v>
      </c>
      <c r="N54" s="86"/>
      <c r="O54" s="86"/>
      <c r="P54" s="86"/>
      <c r="Q54" s="86"/>
    </row>
    <row r="55" spans="2:17" x14ac:dyDescent="0.35">
      <c r="B55">
        <f t="shared" ref="B55:B63" si="30">B54+1</f>
        <v>2042</v>
      </c>
      <c r="C55" s="86">
        <f t="shared" si="29"/>
        <v>25116.250031907668</v>
      </c>
      <c r="D55" s="86">
        <f t="shared" ref="D55:E63" si="31">D54*(1-D$30)</f>
        <v>519.56138618325519</v>
      </c>
      <c r="E55" s="86">
        <f t="shared" si="31"/>
        <v>19.163107394393293</v>
      </c>
      <c r="F55" s="86">
        <f t="shared" ref="F55:F63" si="32">$F54-F$30</f>
        <v>602.02458252681527</v>
      </c>
      <c r="H55" s="86">
        <f t="shared" ref="H55:H63" si="33">$H54-H$30</f>
        <v>6422.0950837426062</v>
      </c>
      <c r="I55" s="86">
        <f t="shared" si="13"/>
        <v>7024.1196662694219</v>
      </c>
      <c r="J55" s="86">
        <f t="shared" si="8"/>
        <v>32140.369698177092</v>
      </c>
      <c r="M55" s="103">
        <f t="shared" si="1"/>
        <v>2042</v>
      </c>
      <c r="N55" s="86"/>
      <c r="O55" s="86"/>
      <c r="P55" s="86"/>
      <c r="Q55" s="86"/>
    </row>
    <row r="56" spans="2:17" x14ac:dyDescent="0.35">
      <c r="B56">
        <f t="shared" si="30"/>
        <v>2043</v>
      </c>
      <c r="C56" s="86">
        <f t="shared" si="29"/>
        <v>21976.71877791921</v>
      </c>
      <c r="D56" s="86">
        <f t="shared" si="31"/>
        <v>519.56138618325519</v>
      </c>
      <c r="E56" s="86">
        <f t="shared" si="31"/>
        <v>19.163107394393293</v>
      </c>
      <c r="F56" s="86">
        <f t="shared" si="32"/>
        <v>526.7715097109633</v>
      </c>
      <c r="H56" s="86">
        <f t="shared" si="33"/>
        <v>5619.3331982747804</v>
      </c>
      <c r="I56" s="86">
        <f t="shared" si="13"/>
        <v>6146.1047079857435</v>
      </c>
      <c r="J56" s="86">
        <f t="shared" si="8"/>
        <v>28122.823485904955</v>
      </c>
      <c r="M56" s="103">
        <f t="shared" si="1"/>
        <v>2043</v>
      </c>
      <c r="N56" s="86"/>
      <c r="O56" s="86"/>
      <c r="P56" s="86"/>
      <c r="Q56" s="86"/>
    </row>
    <row r="57" spans="2:17" x14ac:dyDescent="0.35">
      <c r="B57">
        <f t="shared" si="30"/>
        <v>2044</v>
      </c>
      <c r="C57" s="86">
        <f t="shared" si="29"/>
        <v>18837.187523930752</v>
      </c>
      <c r="D57" s="86">
        <f t="shared" si="31"/>
        <v>519.56138618325519</v>
      </c>
      <c r="E57" s="86">
        <f t="shared" si="31"/>
        <v>19.163107394393293</v>
      </c>
      <c r="F57" s="86">
        <f t="shared" si="32"/>
        <v>451.51843689511139</v>
      </c>
      <c r="H57" s="86">
        <f t="shared" si="33"/>
        <v>4816.5713128069547</v>
      </c>
      <c r="I57" s="86">
        <f t="shared" si="13"/>
        <v>5268.089749702066</v>
      </c>
      <c r="J57" s="86">
        <f t="shared" si="8"/>
        <v>24105.277273632819</v>
      </c>
      <c r="M57" s="103">
        <f t="shared" si="1"/>
        <v>2044</v>
      </c>
      <c r="N57" s="86"/>
      <c r="O57" s="86"/>
      <c r="P57" s="86"/>
      <c r="Q57" s="86"/>
    </row>
    <row r="58" spans="2:17" x14ac:dyDescent="0.35">
      <c r="B58">
        <f t="shared" si="30"/>
        <v>2045</v>
      </c>
      <c r="C58" s="86">
        <f t="shared" si="29"/>
        <v>15697.656269942294</v>
      </c>
      <c r="D58" s="86">
        <f t="shared" si="31"/>
        <v>519.56138618325519</v>
      </c>
      <c r="E58" s="86">
        <f t="shared" si="31"/>
        <v>19.163107394393293</v>
      </c>
      <c r="F58" s="86">
        <f t="shared" si="32"/>
        <v>376.26536407925948</v>
      </c>
      <c r="H58" s="86">
        <f t="shared" si="33"/>
        <v>4013.8094273391289</v>
      </c>
      <c r="I58" s="86">
        <f t="shared" si="13"/>
        <v>4390.0747914183885</v>
      </c>
      <c r="J58" s="86">
        <f t="shared" si="8"/>
        <v>20087.731061360682</v>
      </c>
      <c r="M58" s="103">
        <f t="shared" si="1"/>
        <v>2045</v>
      </c>
      <c r="N58" s="86"/>
      <c r="O58" s="86"/>
      <c r="P58" s="86"/>
      <c r="Q58" s="86"/>
    </row>
    <row r="59" spans="2:17" x14ac:dyDescent="0.35">
      <c r="B59">
        <f t="shared" si="30"/>
        <v>2046</v>
      </c>
      <c r="C59" s="86">
        <f t="shared" si="29"/>
        <v>12558.125015953836</v>
      </c>
      <c r="D59" s="86">
        <f t="shared" si="31"/>
        <v>519.56138618325519</v>
      </c>
      <c r="E59" s="86">
        <f t="shared" si="31"/>
        <v>19.163107394393293</v>
      </c>
      <c r="F59" s="86">
        <f t="shared" si="32"/>
        <v>301.01229126340758</v>
      </c>
      <c r="H59" s="86">
        <f t="shared" si="33"/>
        <v>3211.0475418713031</v>
      </c>
      <c r="I59" s="86">
        <f t="shared" si="13"/>
        <v>3512.0598331347105</v>
      </c>
      <c r="J59" s="86">
        <f t="shared" si="8"/>
        <v>16070.184849088546</v>
      </c>
      <c r="M59" s="103">
        <f t="shared" si="1"/>
        <v>2046</v>
      </c>
      <c r="N59" s="86"/>
      <c r="O59" s="86"/>
      <c r="P59" s="86"/>
      <c r="Q59" s="86"/>
    </row>
    <row r="60" spans="2:17" x14ac:dyDescent="0.35">
      <c r="B60">
        <f t="shared" si="30"/>
        <v>2047</v>
      </c>
      <c r="C60" s="86">
        <f t="shared" si="29"/>
        <v>9418.5937619653778</v>
      </c>
      <c r="D60" s="86">
        <f t="shared" si="31"/>
        <v>519.56138618325519</v>
      </c>
      <c r="E60" s="86">
        <f t="shared" si="31"/>
        <v>19.163107394393293</v>
      </c>
      <c r="F60" s="86">
        <f t="shared" si="32"/>
        <v>225.75921844755567</v>
      </c>
      <c r="H60" s="86">
        <f t="shared" si="33"/>
        <v>2408.2856564034773</v>
      </c>
      <c r="I60" s="86">
        <f t="shared" si="13"/>
        <v>2634.044874851033</v>
      </c>
      <c r="J60" s="86">
        <f t="shared" si="8"/>
        <v>12052.638636816411</v>
      </c>
      <c r="M60" s="103">
        <f t="shared" ref="M60:M63" si="34">B60</f>
        <v>2047</v>
      </c>
      <c r="N60" s="86"/>
      <c r="O60" s="86"/>
      <c r="P60" s="86"/>
      <c r="Q60" s="86"/>
    </row>
    <row r="61" spans="2:17" x14ac:dyDescent="0.35">
      <c r="B61">
        <f t="shared" si="30"/>
        <v>2048</v>
      </c>
      <c r="C61" s="86">
        <f t="shared" si="29"/>
        <v>6279.0625079769197</v>
      </c>
      <c r="D61" s="86">
        <f t="shared" si="31"/>
        <v>519.56138618325519</v>
      </c>
      <c r="E61" s="86">
        <f t="shared" si="31"/>
        <v>19.163107394393293</v>
      </c>
      <c r="F61" s="86">
        <f t="shared" si="32"/>
        <v>150.50614563170376</v>
      </c>
      <c r="H61" s="86">
        <f t="shared" si="33"/>
        <v>1605.5237709356516</v>
      </c>
      <c r="I61" s="86">
        <f t="shared" si="13"/>
        <v>1756.0299165673553</v>
      </c>
      <c r="J61" s="86">
        <f t="shared" si="8"/>
        <v>8035.0924245442748</v>
      </c>
      <c r="M61" s="103">
        <f t="shared" si="34"/>
        <v>2048</v>
      </c>
      <c r="N61" s="86"/>
      <c r="O61" s="86"/>
      <c r="P61" s="86"/>
      <c r="Q61" s="86"/>
    </row>
    <row r="62" spans="2:17" x14ac:dyDescent="0.35">
      <c r="B62">
        <f t="shared" si="30"/>
        <v>2049</v>
      </c>
      <c r="C62" s="86">
        <f t="shared" si="29"/>
        <v>3139.5312539884612</v>
      </c>
      <c r="D62" s="86">
        <f t="shared" si="31"/>
        <v>519.56138618325519</v>
      </c>
      <c r="E62" s="86">
        <f t="shared" si="31"/>
        <v>19.163107394393293</v>
      </c>
      <c r="F62" s="86">
        <f t="shared" si="32"/>
        <v>75.253072815851851</v>
      </c>
      <c r="H62" s="86">
        <f t="shared" si="33"/>
        <v>802.76188546782578</v>
      </c>
      <c r="I62" s="86">
        <f t="shared" si="13"/>
        <v>878.01495828367763</v>
      </c>
      <c r="J62" s="86">
        <f t="shared" si="8"/>
        <v>4017.5462122721387</v>
      </c>
      <c r="M62" s="103">
        <f t="shared" si="34"/>
        <v>2049</v>
      </c>
      <c r="N62" s="86"/>
      <c r="O62" s="86"/>
      <c r="P62" s="86"/>
      <c r="Q62" s="86"/>
    </row>
    <row r="63" spans="2:17" x14ac:dyDescent="0.35">
      <c r="B63">
        <f t="shared" si="30"/>
        <v>2050</v>
      </c>
      <c r="C63" s="86">
        <f t="shared" si="29"/>
        <v>0</v>
      </c>
      <c r="D63" s="86">
        <f t="shared" si="31"/>
        <v>519.56138618325519</v>
      </c>
      <c r="E63" s="86">
        <f t="shared" si="31"/>
        <v>19.163107394393293</v>
      </c>
      <c r="F63" s="86">
        <f t="shared" si="32"/>
        <v>0</v>
      </c>
      <c r="H63" s="86">
        <f t="shared" si="33"/>
        <v>0</v>
      </c>
      <c r="I63" s="86">
        <f t="shared" si="13"/>
        <v>0</v>
      </c>
      <c r="J63" s="86">
        <f t="shared" si="8"/>
        <v>0</v>
      </c>
      <c r="M63" s="103">
        <f t="shared" si="34"/>
        <v>2050</v>
      </c>
      <c r="N63" s="86"/>
      <c r="O63" s="86"/>
      <c r="P63" s="86"/>
      <c r="Q63" s="86"/>
    </row>
  </sheetData>
  <sheetProtection algorithmName="SHA-512" hashValue="A8fW5VHJ1fipdnlL+xhrp7/o2wyahReRF0cSFPkP+DIZPqf8/dr5mf3lIXYC3CAHPJBAtQ2I+gnJPz6+bQ5X1w==" saltValue="58y0y05oP9v8azlJnTYnr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3005-E9B8-4B14-A1FB-9EA9DDF68AE3}">
  <sheetPr>
    <tabColor rgb="FFFFC000"/>
  </sheetPr>
  <dimension ref="A1:BB46"/>
  <sheetViews>
    <sheetView topLeftCell="A10" zoomScale="90" zoomScaleNormal="90" workbookViewId="0">
      <selection activeCell="A15" sqref="A15"/>
    </sheetView>
  </sheetViews>
  <sheetFormatPr defaultRowHeight="14.5" x14ac:dyDescent="0.35"/>
  <cols>
    <col min="10" max="10" width="15.6328125" customWidth="1"/>
    <col min="43" max="43" width="11.26953125" bestFit="1" customWidth="1"/>
    <col min="44" max="44" width="17.54296875" bestFit="1" customWidth="1"/>
    <col min="54" max="54" width="11.6328125" customWidth="1"/>
  </cols>
  <sheetData>
    <row r="1" spans="1:54" x14ac:dyDescent="0.35">
      <c r="C1" t="str">
        <f>C13</f>
        <v>WAM</v>
      </c>
      <c r="D1" t="str">
        <f t="shared" ref="D1:G1" si="0">D13</f>
        <v>E51A51</v>
      </c>
      <c r="E1" t="str">
        <f t="shared" si="0"/>
        <v>E57A40</v>
      </c>
      <c r="F1" t="str">
        <f t="shared" si="0"/>
        <v>E61A33</v>
      </c>
      <c r="G1" t="str">
        <f t="shared" si="0"/>
        <v>E65A25</v>
      </c>
      <c r="M1" t="s">
        <v>282</v>
      </c>
      <c r="O1" t="str">
        <f>V1</f>
        <v>WAM</v>
      </c>
      <c r="P1" t="str">
        <f>W1</f>
        <v>E51A51</v>
      </c>
      <c r="Q1" t="str">
        <f>X1</f>
        <v>E57A40</v>
      </c>
      <c r="R1" t="str">
        <f>Y1</f>
        <v>E61A33</v>
      </c>
      <c r="S1" t="str">
        <f>Z1</f>
        <v>E65A25</v>
      </c>
      <c r="V1" t="str">
        <f>V13</f>
        <v>WAM</v>
      </c>
      <c r="W1" t="str">
        <f t="shared" ref="W1:Z1" si="1">W13</f>
        <v>E51A51</v>
      </c>
      <c r="X1" t="str">
        <f t="shared" si="1"/>
        <v>E57A40</v>
      </c>
      <c r="Y1" t="str">
        <f t="shared" si="1"/>
        <v>E61A33</v>
      </c>
      <c r="Z1" t="str">
        <f t="shared" si="1"/>
        <v>E65A25</v>
      </c>
      <c r="AB1" t="str">
        <f>AB13</f>
        <v>Fgases</v>
      </c>
      <c r="AC1" t="str">
        <f t="shared" ref="AC1" si="2">AC13</f>
        <v>LULUCF</v>
      </c>
      <c r="AF1" t="str">
        <f>AF13</f>
        <v>WAM</v>
      </c>
      <c r="AG1" t="str">
        <f t="shared" ref="AG1:AJ1" si="3">AG13</f>
        <v>E51A51</v>
      </c>
      <c r="AH1" t="str">
        <f t="shared" si="3"/>
        <v>E57A40</v>
      </c>
      <c r="AI1" t="str">
        <f t="shared" si="3"/>
        <v>E61A33</v>
      </c>
      <c r="AJ1" t="str">
        <f t="shared" si="3"/>
        <v>E65A25</v>
      </c>
      <c r="AQ1" t="s">
        <v>227</v>
      </c>
      <c r="AR1" s="102">
        <f>SUM(AR17:AR21)</f>
        <v>3896.7874377382832</v>
      </c>
      <c r="AS1" s="102">
        <f t="shared" ref="AS1:AU1" si="4">SUM(AS17:AS21)</f>
        <v>3812.4025962972637</v>
      </c>
      <c r="AT1" s="102">
        <f t="shared" si="4"/>
        <v>3756.1460353365837</v>
      </c>
      <c r="AU1" s="102">
        <f t="shared" si="4"/>
        <v>3699.8894743759033</v>
      </c>
      <c r="AW1" s="102">
        <f>SUM(AW17:AW21)</f>
        <v>19981.295540408013</v>
      </c>
      <c r="AX1" s="102">
        <f t="shared" ref="AX1:AZ1" si="5">SUM(AX17:AX21)</f>
        <v>19981.295540408013</v>
      </c>
      <c r="AY1" s="102">
        <f t="shared" si="5"/>
        <v>19981.295540408013</v>
      </c>
      <c r="AZ1" s="102">
        <f t="shared" si="5"/>
        <v>19981.295540408013</v>
      </c>
      <c r="BB1" s="102">
        <f t="shared" ref="BB1" si="6">SUM(BB17:BB21)</f>
        <v>19981.295540408013</v>
      </c>
    </row>
    <row r="2" spans="1:54" x14ac:dyDescent="0.35">
      <c r="B2" t="s">
        <v>227</v>
      </c>
      <c r="C2" s="86">
        <f>SUM(C17:C21)</f>
        <v>174810</v>
      </c>
      <c r="D2" s="86">
        <f t="shared" ref="D2:G2" si="7">SUM(D17:D21)</f>
        <v>170534.99999999997</v>
      </c>
      <c r="E2" s="86">
        <f t="shared" si="7"/>
        <v>168824.00000000003</v>
      </c>
      <c r="F2" s="86">
        <f t="shared" si="7"/>
        <v>167579.00000000006</v>
      </c>
      <c r="G2" s="86">
        <f t="shared" si="7"/>
        <v>166230.99999999997</v>
      </c>
      <c r="N2" t="str">
        <f>U2</f>
        <v>2021-2025</v>
      </c>
      <c r="O2" s="86">
        <f t="shared" ref="O2:S4" si="8">V2-C2</f>
        <v>-4649.0093053126766</v>
      </c>
      <c r="P2" s="86">
        <f t="shared" si="8"/>
        <v>-4535.317212296155</v>
      </c>
      <c r="Q2" s="86">
        <f t="shared" si="8"/>
        <v>-4489.8137804479338</v>
      </c>
      <c r="R2" s="86">
        <f t="shared" si="8"/>
        <v>-4456.7034516045242</v>
      </c>
      <c r="S2" s="86">
        <f t="shared" si="8"/>
        <v>-4420.8538746721169</v>
      </c>
      <c r="U2" t="s">
        <v>227</v>
      </c>
      <c r="V2" s="86">
        <f>SUM(V17:V21)</f>
        <v>170160.99069468732</v>
      </c>
      <c r="W2" s="86">
        <f t="shared" ref="W2:Z2" si="9">SUM(W17:W21)</f>
        <v>165999.68278770382</v>
      </c>
      <c r="X2" s="86">
        <f t="shared" si="9"/>
        <v>164334.1862195521</v>
      </c>
      <c r="Y2" s="86">
        <f t="shared" si="9"/>
        <v>163122.29654839553</v>
      </c>
      <c r="Z2" s="86">
        <f t="shared" si="9"/>
        <v>161810.14612532785</v>
      </c>
      <c r="AB2" s="86">
        <f>SUM(AB17:AB21)</f>
        <v>3896.7874377382832</v>
      </c>
      <c r="AC2" s="86">
        <f t="shared" ref="AC2" si="10">SUM(AC17:AC21)</f>
        <v>23734.741048892261</v>
      </c>
      <c r="AE2" t="s">
        <v>227</v>
      </c>
      <c r="AF2" s="86">
        <f>SUM(AF17:AF21)</f>
        <v>197792.51918131788</v>
      </c>
      <c r="AG2" s="86">
        <f>SUM(AG17:AG21)</f>
        <v>189877.76576585011</v>
      </c>
      <c r="AH2" s="86">
        <f t="shared" ref="AH2:AJ2" si="11">SUM(AH17:AH21)</f>
        <v>188127.88435625739</v>
      </c>
      <c r="AI2" s="86">
        <f t="shared" si="11"/>
        <v>186859.7381241401</v>
      </c>
      <c r="AJ2" s="86">
        <f t="shared" si="11"/>
        <v>185491.33114011178</v>
      </c>
      <c r="AQ2" t="s">
        <v>226</v>
      </c>
      <c r="AR2" s="102">
        <f>SUM(AR22:AR26)</f>
        <v>2754.1842007069445</v>
      </c>
      <c r="AS2" s="102">
        <f t="shared" ref="AS2:AU2" si="12">SUM(AS22:AS26)</f>
        <v>2529.1579568642273</v>
      </c>
      <c r="AT2" s="102">
        <f t="shared" si="12"/>
        <v>2379.1404609690821</v>
      </c>
      <c r="AU2" s="102">
        <f t="shared" si="12"/>
        <v>2229.1229650739342</v>
      </c>
      <c r="AW2" s="102">
        <f t="shared" ref="AW2:AZ2" si="13">SUM(AW22:AW26)</f>
        <v>10609.777308988791</v>
      </c>
      <c r="AX2" s="102">
        <f t="shared" si="13"/>
        <v>10609.777308988791</v>
      </c>
      <c r="AY2" s="102">
        <f t="shared" si="13"/>
        <v>10609.777308988791</v>
      </c>
      <c r="AZ2" s="102">
        <f t="shared" si="13"/>
        <v>10609.777308988791</v>
      </c>
      <c r="BB2" s="102">
        <f t="shared" ref="BB2" si="14">SUM(BB22:BB26)</f>
        <v>10609.777308988791</v>
      </c>
    </row>
    <row r="3" spans="1:54" x14ac:dyDescent="0.35">
      <c r="B3" t="s">
        <v>226</v>
      </c>
      <c r="C3" s="86">
        <f>SUM(C22:C26)</f>
        <v>143751.99999999997</v>
      </c>
      <c r="D3" s="86">
        <f t="shared" ref="D3:G3" si="15">SUM(D22:D26)</f>
        <v>117734.00000000004</v>
      </c>
      <c r="E3" s="86">
        <f t="shared" si="15"/>
        <v>107622.99999999999</v>
      </c>
      <c r="F3" s="86">
        <f t="shared" si="15"/>
        <v>100680.99999999997</v>
      </c>
      <c r="G3" s="86">
        <f t="shared" si="15"/>
        <v>93550.999999999942</v>
      </c>
      <c r="N3" t="str">
        <f>U3</f>
        <v>2026-2030</v>
      </c>
      <c r="O3" s="86">
        <f t="shared" si="8"/>
        <v>-3823.0329252177035</v>
      </c>
      <c r="P3" s="86">
        <f t="shared" si="8"/>
        <v>-3131.093538994799</v>
      </c>
      <c r="Q3" s="86">
        <f t="shared" si="8"/>
        <v>-2862.1951173597918</v>
      </c>
      <c r="R3" s="86">
        <f t="shared" si="8"/>
        <v>-2677.5751150860015</v>
      </c>
      <c r="S3" s="86">
        <f t="shared" si="8"/>
        <v>-2487.9553201836534</v>
      </c>
      <c r="U3" t="s">
        <v>226</v>
      </c>
      <c r="V3" s="86">
        <f>SUM(V22:V26)</f>
        <v>139928.96707478227</v>
      </c>
      <c r="W3" s="86">
        <f t="shared" ref="W3:Z3" si="16">SUM(W22:W26)</f>
        <v>114602.90646100524</v>
      </c>
      <c r="X3" s="86">
        <f t="shared" si="16"/>
        <v>104760.80488264019</v>
      </c>
      <c r="Y3" s="86">
        <f t="shared" si="16"/>
        <v>98003.424884913969</v>
      </c>
      <c r="Z3" s="86">
        <f t="shared" si="16"/>
        <v>91063.044679816288</v>
      </c>
      <c r="AB3" s="86">
        <f>SUM(AB22:AB26)</f>
        <v>2754.1842007069445</v>
      </c>
      <c r="AC3" s="86">
        <f t="shared" ref="AC3" si="17">SUM(AC22:AC26)</f>
        <v>25962.075610855696</v>
      </c>
      <c r="AE3" t="s">
        <v>226</v>
      </c>
      <c r="AF3" s="86">
        <f>SUM(AF22:AF26)</f>
        <v>168645.22688634493</v>
      </c>
      <c r="AG3" s="86">
        <f>SUM(AG22:AG26)</f>
        <v>127966.867970701</v>
      </c>
      <c r="AH3" s="86">
        <f t="shared" ref="AH3:AJ3" si="18">SUM(AH22:AH26)</f>
        <v>117899.74014849323</v>
      </c>
      <c r="AI3" s="86">
        <f t="shared" si="18"/>
        <v>110992.34265487184</v>
      </c>
      <c r="AJ3" s="86">
        <f t="shared" si="18"/>
        <v>103901.94495387905</v>
      </c>
      <c r="AQ3" t="s">
        <v>309</v>
      </c>
      <c r="AR3" s="102">
        <f>SUM(AR27:AR31)</f>
        <v>1952.571470010248</v>
      </c>
      <c r="AS3" s="102">
        <f t="shared" ref="AS3:AU3" si="19">SUM(AS27:AS31)</f>
        <v>1713.4810859273609</v>
      </c>
      <c r="AT3" s="102">
        <f t="shared" si="19"/>
        <v>1554.0874965387691</v>
      </c>
      <c r="AU3" s="102">
        <f t="shared" si="19"/>
        <v>1394.6939071501745</v>
      </c>
      <c r="AW3" s="102">
        <f t="shared" ref="AW3:AZ3" si="20">SUM(AW27:AW31)</f>
        <v>8220.7700733340389</v>
      </c>
      <c r="AX3" s="102">
        <f t="shared" si="20"/>
        <v>8220.7700733340389</v>
      </c>
      <c r="AY3" s="102">
        <f t="shared" si="20"/>
        <v>8220.7700733340389</v>
      </c>
      <c r="AZ3" s="102">
        <f t="shared" si="20"/>
        <v>8220.7700733340389</v>
      </c>
      <c r="BB3" s="102">
        <f t="shared" ref="BB3" si="21">SUM(BB27:BB31)</f>
        <v>8220.7700733340389</v>
      </c>
    </row>
    <row r="4" spans="1:54" x14ac:dyDescent="0.35">
      <c r="B4" t="s">
        <v>228</v>
      </c>
      <c r="C4" s="86">
        <f>SUM(C27:C31)</f>
        <v>135230.00000000009</v>
      </c>
      <c r="D4" s="86">
        <f t="shared" ref="D4:G4" si="22">SUM(D27:D31)</f>
        <v>83852.500000000015</v>
      </c>
      <c r="E4" s="86">
        <f t="shared" si="22"/>
        <v>73584.499999999985</v>
      </c>
      <c r="F4" s="86">
        <f t="shared" si="22"/>
        <v>66742.000000000015</v>
      </c>
      <c r="G4" s="86">
        <f t="shared" si="22"/>
        <v>59895.250000000015</v>
      </c>
      <c r="N4" t="str">
        <f>U4</f>
        <v>2031-2035</v>
      </c>
      <c r="O4" s="86">
        <f t="shared" si="8"/>
        <v>-3596.3933891506458</v>
      </c>
      <c r="P4" s="86">
        <f t="shared" si="8"/>
        <v>-2230.0271882256493</v>
      </c>
      <c r="Q4" s="86">
        <f t="shared" si="8"/>
        <v>-1956.9534078529687</v>
      </c>
      <c r="R4" s="86">
        <f t="shared" si="8"/>
        <v>-1774.9795724225114</v>
      </c>
      <c r="S4" s="86">
        <f t="shared" si="8"/>
        <v>-1592.8927097650449</v>
      </c>
      <c r="U4" t="s">
        <v>228</v>
      </c>
      <c r="V4" s="86">
        <f>SUM(V27:V31)</f>
        <v>131633.60661084944</v>
      </c>
      <c r="W4" s="86">
        <f t="shared" ref="W4:Z4" si="23">SUM(W27:W31)</f>
        <v>81622.472811774365</v>
      </c>
      <c r="X4" s="86">
        <f t="shared" si="23"/>
        <v>71627.546592147017</v>
      </c>
      <c r="Y4" s="86">
        <f t="shared" si="23"/>
        <v>64967.020427577503</v>
      </c>
      <c r="Z4" s="86">
        <f t="shared" si="23"/>
        <v>58302.35729023497</v>
      </c>
      <c r="AB4" s="86">
        <f>SUM(AB27:AB31)</f>
        <v>1952.571470010248</v>
      </c>
      <c r="AC4" s="86">
        <f t="shared" ref="AC4" si="24">SUM(AC27:AC31)</f>
        <v>36066.54569156684</v>
      </c>
      <c r="AE4" t="s">
        <v>228</v>
      </c>
      <c r="AF4" s="86">
        <f>SUM(AF27:AF31)</f>
        <v>169652.72377242654</v>
      </c>
      <c r="AG4" s="86">
        <f>SUM(AG27:AG31)</f>
        <v>91795.814355118637</v>
      </c>
      <c r="AH4" s="86">
        <f t="shared" ref="AH4:AJ4" si="25">SUM(AH27:AH31)</f>
        <v>81561.797751408405</v>
      </c>
      <c r="AI4" s="86">
        <f t="shared" si="25"/>
        <v>74741.877997450327</v>
      </c>
      <c r="AJ4" s="86">
        <f t="shared" si="25"/>
        <v>67917.821270719185</v>
      </c>
      <c r="AQ4" t="s">
        <v>229</v>
      </c>
      <c r="AR4" s="102">
        <f>SUM(AR32:AR46)</f>
        <v>2412.0000511891312</v>
      </c>
      <c r="AS4" s="102">
        <f t="shared" ref="AS4:AU4" si="26">SUM(AS32:AS46)</f>
        <v>2116.6531061455644</v>
      </c>
      <c r="AT4" s="102">
        <f t="shared" si="26"/>
        <v>1919.7551427831872</v>
      </c>
      <c r="AU4" s="102">
        <f t="shared" si="26"/>
        <v>1722.857179420804</v>
      </c>
      <c r="AW4" s="102">
        <f t="shared" ref="AW4:AZ4" si="27">SUM(AW32:AW46)</f>
        <v>10155.068914118512</v>
      </c>
      <c r="AX4" s="102">
        <f t="shared" si="27"/>
        <v>10155.068914118512</v>
      </c>
      <c r="AY4" s="102">
        <f t="shared" si="27"/>
        <v>10155.068914118512</v>
      </c>
      <c r="AZ4" s="102">
        <f t="shared" si="27"/>
        <v>10155.068914118512</v>
      </c>
      <c r="BB4" s="102">
        <f t="shared" ref="BB4" si="28">SUM(BB32:BB46)</f>
        <v>10155.068914118512</v>
      </c>
    </row>
    <row r="5" spans="1:54" x14ac:dyDescent="0.35">
      <c r="C5" s="86"/>
      <c r="D5" s="86"/>
      <c r="E5" s="86"/>
      <c r="F5" s="86"/>
      <c r="G5" s="86"/>
      <c r="O5" s="86"/>
      <c r="P5" s="86"/>
      <c r="Q5" s="86"/>
      <c r="R5" s="86"/>
      <c r="S5" s="86"/>
      <c r="V5" s="86"/>
      <c r="W5" s="86"/>
      <c r="X5" s="86"/>
      <c r="Y5" s="86"/>
      <c r="Z5" s="86"/>
      <c r="AB5" s="86"/>
      <c r="AC5" s="86"/>
      <c r="AF5" s="86"/>
      <c r="AG5" s="86"/>
      <c r="AH5" s="86"/>
      <c r="AI5" s="86"/>
      <c r="AJ5" s="86"/>
      <c r="AR5" s="102">
        <f>SUM(AR1:AR4)</f>
        <v>11015.543159644607</v>
      </c>
      <c r="AS5" s="102">
        <f t="shared" ref="AS5:AU5" si="29">SUM(AS1:AS4)</f>
        <v>10171.694745234417</v>
      </c>
      <c r="AT5" s="102">
        <f t="shared" si="29"/>
        <v>9609.1291356276215</v>
      </c>
      <c r="AU5" s="102">
        <f t="shared" si="29"/>
        <v>9046.5635260208164</v>
      </c>
      <c r="AW5" s="102">
        <f t="shared" ref="AW5" si="30">SUM(AW1:AW4)</f>
        <v>48966.911836849358</v>
      </c>
      <c r="AX5" s="102">
        <f t="shared" ref="AX5" si="31">SUM(AX1:AX4)</f>
        <v>48966.911836849358</v>
      </c>
      <c r="AY5" s="102">
        <f t="shared" ref="AY5" si="32">SUM(AY1:AY4)</f>
        <v>48966.911836849358</v>
      </c>
      <c r="AZ5" s="102">
        <f t="shared" ref="AZ5:BB5" si="33">SUM(AZ1:AZ4)</f>
        <v>48966.911836849358</v>
      </c>
      <c r="BB5" s="102">
        <f t="shared" si="33"/>
        <v>48966.911836849358</v>
      </c>
    </row>
    <row r="6" spans="1:54" x14ac:dyDescent="0.35">
      <c r="C6" s="86"/>
      <c r="D6" s="86"/>
      <c r="E6" s="86"/>
      <c r="F6" s="86"/>
      <c r="G6" s="86"/>
      <c r="O6" s="86"/>
      <c r="P6" s="86"/>
      <c r="Q6" s="86"/>
      <c r="R6" s="86"/>
      <c r="S6" s="86"/>
      <c r="V6" s="86"/>
      <c r="W6" s="86"/>
      <c r="X6" s="86"/>
      <c r="Y6" s="86"/>
      <c r="Z6" s="86"/>
      <c r="AB6" s="86"/>
      <c r="AC6" s="86"/>
      <c r="AF6" s="86"/>
      <c r="AG6" s="86"/>
      <c r="AH6" s="86"/>
      <c r="AI6" s="86"/>
      <c r="AJ6" s="86"/>
      <c r="AR6" s="102"/>
    </row>
    <row r="7" spans="1:54" x14ac:dyDescent="0.35">
      <c r="B7" t="s">
        <v>229</v>
      </c>
      <c r="C7" s="86">
        <f>SUM(C32:C46)</f>
        <v>402420.31822055613</v>
      </c>
      <c r="D7" s="86">
        <f t="shared" ref="D7:G7" si="34">SUM(D32:D46)</f>
        <v>103582.49999999996</v>
      </c>
      <c r="E7" s="86">
        <f t="shared" si="34"/>
        <v>90898.499999999942</v>
      </c>
      <c r="F7" s="86">
        <f t="shared" si="34"/>
        <v>82445.999999999971</v>
      </c>
      <c r="G7" s="86">
        <f t="shared" si="34"/>
        <v>73988.249999999956</v>
      </c>
      <c r="N7" t="str">
        <f>U7</f>
        <v>2036-2050</v>
      </c>
      <c r="O7" s="86">
        <f t="shared" ref="O7:S8" si="35">V7-C7</f>
        <v>-10702.224152246607</v>
      </c>
      <c r="P7" s="86">
        <f t="shared" si="35"/>
        <v>-2754.7394678081619</v>
      </c>
      <c r="Q7" s="86">
        <f t="shared" si="35"/>
        <v>-2417.4130332301283</v>
      </c>
      <c r="R7" s="86">
        <f t="shared" si="35"/>
        <v>-2192.6218247571815</v>
      </c>
      <c r="S7" s="86">
        <f t="shared" si="35"/>
        <v>-1967.6909944156214</v>
      </c>
      <c r="U7" t="s">
        <v>229</v>
      </c>
      <c r="V7" s="86">
        <f>SUM(V32:V46)</f>
        <v>391718.09406830953</v>
      </c>
      <c r="W7" s="86">
        <f t="shared" ref="W7:Z7" si="36">SUM(W32:W46)</f>
        <v>100827.76053219179</v>
      </c>
      <c r="X7" s="86">
        <f t="shared" si="36"/>
        <v>88481.086966769813</v>
      </c>
      <c r="Y7" s="86">
        <f t="shared" si="36"/>
        <v>80253.378175242789</v>
      </c>
      <c r="Z7" s="86">
        <f t="shared" si="36"/>
        <v>72020.559005584335</v>
      </c>
      <c r="AB7" s="86">
        <f>SUM(AB32:AB46)</f>
        <v>2412.000051189134</v>
      </c>
      <c r="AC7" s="86">
        <f t="shared" ref="AC7" si="37">SUM(AC32:AC46)</f>
        <v>68844.309253420637</v>
      </c>
      <c r="AE7" t="s">
        <v>229</v>
      </c>
      <c r="AF7" s="86">
        <f>SUM(AF32:AF46)</f>
        <v>462974.40337291925</v>
      </c>
      <c r="AG7" s="86">
        <f t="shared" ref="AG7:AJ7" si="38">SUM(AG32:AG46)</f>
        <v>113394.82949749944</v>
      </c>
      <c r="AH7" s="86">
        <f t="shared" si="38"/>
        <v>100752.8089870339</v>
      </c>
      <c r="AI7" s="86">
        <f t="shared" si="38"/>
        <v>92328.202232144511</v>
      </c>
      <c r="AJ7" s="86">
        <f t="shared" si="38"/>
        <v>83898.48509912366</v>
      </c>
      <c r="AR7" s="86">
        <f>AR26/20</f>
        <v>22.971429058944089</v>
      </c>
      <c r="AS7" s="86">
        <f t="shared" ref="AS7:AZ7" si="39">AS26/20</f>
        <v>20.158601010910125</v>
      </c>
      <c r="AT7" s="86">
        <f t="shared" si="39"/>
        <v>18.283382312220809</v>
      </c>
      <c r="AU7" s="86">
        <f t="shared" si="39"/>
        <v>16.408163613531467</v>
      </c>
      <c r="AW7" s="86">
        <f t="shared" si="39"/>
        <v>96.714942039224013</v>
      </c>
      <c r="AX7" s="86">
        <f t="shared" si="39"/>
        <v>96.714942039224013</v>
      </c>
      <c r="AY7" s="86">
        <f t="shared" si="39"/>
        <v>96.714942039224013</v>
      </c>
      <c r="AZ7" s="86">
        <f t="shared" si="39"/>
        <v>96.714942039224013</v>
      </c>
      <c r="BB7" s="86">
        <f t="shared" ref="BB7" si="40">BB26/20</f>
        <v>96.714942039224013</v>
      </c>
    </row>
    <row r="8" spans="1:54" x14ac:dyDescent="0.35">
      <c r="B8" t="s">
        <v>268</v>
      </c>
      <c r="C8" s="86">
        <f>SUM(C2:C7)+C16</f>
        <v>890004.31822055625</v>
      </c>
      <c r="D8" s="86">
        <f t="shared" ref="D8" si="41">SUM(D2:D7)+D16</f>
        <v>509495.99999999988</v>
      </c>
      <c r="E8" s="86">
        <f t="shared" ref="E8" si="42">SUM(E2:E7)+E16</f>
        <v>474721.99999999988</v>
      </c>
      <c r="F8" s="86">
        <f t="shared" ref="F8" si="43">SUM(F2:F7)+F16</f>
        <v>451239.99999999994</v>
      </c>
      <c r="G8" s="86">
        <f t="shared" ref="G8" si="44">SUM(G2:G7)+G16</f>
        <v>427457.49999999983</v>
      </c>
      <c r="N8" t="str">
        <f>U8</f>
        <v>2020-2050</v>
      </c>
      <c r="O8" s="86">
        <f t="shared" si="35"/>
        <v>-23669.345902269939</v>
      </c>
      <c r="P8" s="86">
        <f t="shared" si="35"/>
        <v>-13549.86353766697</v>
      </c>
      <c r="Q8" s="86">
        <f t="shared" si="35"/>
        <v>-12625.061469232955</v>
      </c>
      <c r="R8" s="86">
        <f t="shared" si="35"/>
        <v>-12000.566094212409</v>
      </c>
      <c r="S8" s="86">
        <f t="shared" si="35"/>
        <v>-11368.079029378598</v>
      </c>
      <c r="U8" t="s">
        <v>268</v>
      </c>
      <c r="V8" s="86">
        <f>SUM(V2:V7)+V16</f>
        <v>866334.97231828631</v>
      </c>
      <c r="W8" s="86">
        <f t="shared" ref="W8:Z8" si="45">SUM(W2:W7)+W16</f>
        <v>495946.13646233291</v>
      </c>
      <c r="X8" s="86">
        <f t="shared" si="45"/>
        <v>462096.93853076693</v>
      </c>
      <c r="Y8" s="86">
        <f t="shared" si="45"/>
        <v>439239.43390578753</v>
      </c>
      <c r="Z8" s="86">
        <f t="shared" si="45"/>
        <v>416089.42097062123</v>
      </c>
      <c r="AB8" s="86">
        <f>SUM(AB2:AB7)+AB16</f>
        <v>11932.013035636028</v>
      </c>
      <c r="AC8" s="86">
        <f t="shared" ref="AC8" si="46">SUM(AC2:AC7)+AC16</f>
        <v>158047.61415751372</v>
      </c>
      <c r="AE8" t="s">
        <v>268</v>
      </c>
      <c r="AF8" s="86">
        <f>SUM(AF2:AF7)+AF16</f>
        <v>1036314.599511436</v>
      </c>
      <c r="AG8" s="86">
        <f t="shared" ref="AG8" si="47">SUM(AG2:AG7)+AG16</f>
        <v>560432.35341844347</v>
      </c>
      <c r="AH8" s="86">
        <f t="shared" ref="AH8" si="48">SUM(AH2:AH7)+AH16</f>
        <v>525739.30707246729</v>
      </c>
      <c r="AI8" s="86">
        <f t="shared" ref="AI8" si="49">SUM(AI2:AI7)+AI16</f>
        <v>502319.23683788115</v>
      </c>
      <c r="AJ8" s="86">
        <f t="shared" ref="AJ8" si="50">SUM(AJ2:AJ7)+AJ16</f>
        <v>478606.65829310805</v>
      </c>
      <c r="AR8" s="102">
        <f>(AR16-AR9)/10</f>
        <v>45.70412948125356</v>
      </c>
      <c r="AS8" s="102">
        <f t="shared" ref="AS8:AU8" si="51">(AS16-AS9)/10</f>
        <v>51.329785577321488</v>
      </c>
      <c r="AT8" s="102">
        <f t="shared" si="51"/>
        <v>55.080222974700121</v>
      </c>
      <c r="AU8" s="102">
        <f t="shared" si="51"/>
        <v>58.830660372078754</v>
      </c>
      <c r="AW8" s="102">
        <f t="shared" ref="AW8:AZ8" si="52">(AW16-AW9)/10</f>
        <v>166.63177473949025</v>
      </c>
      <c r="AX8" s="102">
        <f t="shared" si="52"/>
        <v>190.15390946884082</v>
      </c>
      <c r="AY8" s="102">
        <f t="shared" si="52"/>
        <v>205.83533262174123</v>
      </c>
      <c r="AZ8" s="102">
        <f t="shared" si="52"/>
        <v>221.51675577464161</v>
      </c>
      <c r="BB8" s="102">
        <f t="shared" ref="BB8" si="53">(BB16-BB9)/10</f>
        <v>358.72920836252001</v>
      </c>
    </row>
    <row r="9" spans="1:54" ht="87" x14ac:dyDescent="0.35">
      <c r="A9" t="s">
        <v>306</v>
      </c>
      <c r="B9">
        <v>2018</v>
      </c>
      <c r="C9">
        <v>40266.015069426758</v>
      </c>
      <c r="D9">
        <f>C9</f>
        <v>40266.015069426758</v>
      </c>
      <c r="E9">
        <f t="shared" ref="E9:G9" si="54">D9</f>
        <v>40266.015069426758</v>
      </c>
      <c r="F9">
        <f t="shared" si="54"/>
        <v>40266.015069426758</v>
      </c>
      <c r="G9">
        <f t="shared" si="54"/>
        <v>40266.015069426758</v>
      </c>
      <c r="I9" s="93" t="s">
        <v>276</v>
      </c>
      <c r="J9" s="92" t="str">
        <f>'CO2 1990-2019'!G79</f>
        <v>Total CO2 equivalent emissions without land use, land-use change and forestry</v>
      </c>
      <c r="K9" s="93"/>
      <c r="U9" t="s">
        <v>281</v>
      </c>
      <c r="V9" s="86"/>
      <c r="AC9">
        <f>AC36/10</f>
        <v>711.90003833502556</v>
      </c>
      <c r="AR9" s="102">
        <f>AR14*(1-AR11)</f>
        <v>459.42858117888147</v>
      </c>
      <c r="AS9" s="86">
        <f>AS14*(1-AS11)</f>
        <v>403.17202021820214</v>
      </c>
      <c r="AT9" s="86">
        <f t="shared" ref="AT9:AZ9" si="55">AT14*(1-AT11)</f>
        <v>365.66764624441589</v>
      </c>
      <c r="AU9" s="86">
        <f t="shared" si="55"/>
        <v>328.16327227062959</v>
      </c>
      <c r="AW9">
        <f t="shared" si="55"/>
        <v>1920.9743362302975</v>
      </c>
      <c r="AX9">
        <f t="shared" si="55"/>
        <v>1685.752988936792</v>
      </c>
      <c r="AY9">
        <f t="shared" si="55"/>
        <v>1528.938757407788</v>
      </c>
      <c r="AZ9">
        <f t="shared" si="55"/>
        <v>1372.124525878784</v>
      </c>
    </row>
    <row r="10" spans="1:54" x14ac:dyDescent="0.35">
      <c r="B10">
        <f t="shared" ref="B10" si="56">B25</f>
        <v>2029</v>
      </c>
      <c r="C10" s="3">
        <f>1-C25/C$14</f>
        <v>0.31209979551636013</v>
      </c>
      <c r="D10" s="3">
        <f t="shared" ref="D10:G10" si="57">1-D25/D$14</f>
        <v>0.46662216355481612</v>
      </c>
      <c r="E10" s="3">
        <f t="shared" si="57"/>
        <v>0.52312142219954305</v>
      </c>
      <c r="F10" s="3">
        <f t="shared" si="57"/>
        <v>0.5613919090441688</v>
      </c>
      <c r="G10" s="3">
        <f t="shared" si="57"/>
        <v>0.60025843202394791</v>
      </c>
      <c r="I10" s="94">
        <v>2018</v>
      </c>
      <c r="J10" s="107">
        <f>'CO2 1990-2019'!G108</f>
        <v>39195.154828332859</v>
      </c>
      <c r="K10" s="94"/>
      <c r="N10">
        <f t="shared" ref="N10" si="58">N25</f>
        <v>2029</v>
      </c>
      <c r="O10" s="81">
        <f t="shared" ref="O10:S10" si="59">1-O25</f>
        <v>0.31209979551636013</v>
      </c>
      <c r="P10" s="81">
        <f t="shared" si="59"/>
        <v>0.46662216355481612</v>
      </c>
      <c r="Q10" s="81">
        <f t="shared" si="59"/>
        <v>0.52312142219954305</v>
      </c>
      <c r="R10" s="81">
        <f t="shared" si="59"/>
        <v>0.5613919090441688</v>
      </c>
      <c r="S10" s="81">
        <f t="shared" si="59"/>
        <v>0.60025843202394791</v>
      </c>
      <c r="V10" s="81">
        <f>1-V26/V14</f>
        <v>0.32831694536031897</v>
      </c>
      <c r="W10" s="81">
        <f t="shared" ref="W10:Z10" si="60">1-W26/W14</f>
        <v>0.51000862722617424</v>
      </c>
      <c r="X10" s="81">
        <f t="shared" si="60"/>
        <v>0.57000959816492491</v>
      </c>
      <c r="Y10" s="81">
        <f t="shared" si="60"/>
        <v>0.60999368889811589</v>
      </c>
      <c r="Z10" s="81">
        <f t="shared" si="60"/>
        <v>0.65000261447027186</v>
      </c>
      <c r="AC10" t="s">
        <v>321</v>
      </c>
      <c r="AE10" s="81"/>
      <c r="AF10" s="81">
        <f t="shared" ref="AF10:AJ10" si="61">1-AF26/AF14</f>
        <v>0.25157508033184517</v>
      </c>
      <c r="AG10" s="81">
        <f t="shared" si="61"/>
        <v>0.50970521136531088</v>
      </c>
      <c r="AH10" s="81">
        <f t="shared" si="61"/>
        <v>0.5643665817431438</v>
      </c>
      <c r="AI10" s="81">
        <f t="shared" si="61"/>
        <v>0.60079276454639041</v>
      </c>
      <c r="AJ10" s="81">
        <f t="shared" si="61"/>
        <v>0.6372410435226008</v>
      </c>
      <c r="BB10">
        <f>BB26/20</f>
        <v>96.714942039224013</v>
      </c>
    </row>
    <row r="11" spans="1:54" x14ac:dyDescent="0.35">
      <c r="B11">
        <f>B26</f>
        <v>2030</v>
      </c>
      <c r="C11" s="3">
        <f t="shared" ref="C11:G11" si="62">1-C26/C$14</f>
        <v>0.32831694536031897</v>
      </c>
      <c r="D11" s="3">
        <f t="shared" si="62"/>
        <v>0.51000862722617435</v>
      </c>
      <c r="E11" s="3">
        <f t="shared" si="62"/>
        <v>0.57000959816492491</v>
      </c>
      <c r="F11" s="3">
        <f t="shared" si="62"/>
        <v>0.609993688898116</v>
      </c>
      <c r="G11" s="3">
        <f t="shared" si="62"/>
        <v>0.65000261447027186</v>
      </c>
      <c r="I11" s="94">
        <f>B15</f>
        <v>2019</v>
      </c>
      <c r="J11" s="107">
        <f>'CO2 1990-2019'!G109</f>
        <v>37275.318574990517</v>
      </c>
      <c r="K11" s="94"/>
      <c r="N11">
        <f>N26</f>
        <v>2030</v>
      </c>
      <c r="O11" s="81">
        <f>1-O26</f>
        <v>0.32831694536031897</v>
      </c>
      <c r="P11" s="81">
        <f t="shared" ref="P11:S11" si="63">1-P26</f>
        <v>0.51000862722617435</v>
      </c>
      <c r="Q11" s="81">
        <f t="shared" si="63"/>
        <v>0.57000959816492491</v>
      </c>
      <c r="R11" s="81">
        <f t="shared" si="63"/>
        <v>0.609993688898116</v>
      </c>
      <c r="S11" s="81">
        <f t="shared" si="63"/>
        <v>0.65000261447027186</v>
      </c>
      <c r="W11" s="3">
        <v>0.51</v>
      </c>
      <c r="X11" s="3">
        <v>0.56999999999999995</v>
      </c>
      <c r="Y11" s="3">
        <v>0.61</v>
      </c>
      <c r="Z11" s="3">
        <v>0.65</v>
      </c>
      <c r="AG11" t="s">
        <v>320</v>
      </c>
      <c r="AR11" s="3">
        <f>InputOutput!E10</f>
        <v>0.51</v>
      </c>
      <c r="AS11" s="3">
        <f>InputOutput!E11</f>
        <v>0.56999999999999995</v>
      </c>
      <c r="AT11" s="3">
        <f>InputOutput!E12</f>
        <v>0.61</v>
      </c>
      <c r="AU11" s="3">
        <f>InputOutput!E13</f>
        <v>0.65</v>
      </c>
      <c r="AW11" s="3">
        <v>0.51</v>
      </c>
      <c r="AX11" s="3">
        <v>0.56999999999999995</v>
      </c>
      <c r="AY11" s="3">
        <v>0.61</v>
      </c>
      <c r="AZ11" s="3">
        <v>0.65</v>
      </c>
    </row>
    <row r="12" spans="1:54" x14ac:dyDescent="0.35">
      <c r="B12">
        <f t="shared" ref="B12" si="64">B27</f>
        <v>2031</v>
      </c>
      <c r="C12" s="3">
        <f t="shared" ref="C12:G12" si="65">1-C27/C$14</f>
        <v>0.32831694536031875</v>
      </c>
      <c r="D12" s="3">
        <f t="shared" si="65"/>
        <v>0.53450819586486564</v>
      </c>
      <c r="E12" s="3">
        <f t="shared" si="65"/>
        <v>0.59150911825667873</v>
      </c>
      <c r="F12" s="3">
        <f t="shared" si="65"/>
        <v>0.62949400445321002</v>
      </c>
      <c r="G12" s="3">
        <f t="shared" si="65"/>
        <v>0.66750248374675825</v>
      </c>
      <c r="I12" t="s">
        <v>305</v>
      </c>
      <c r="J12">
        <f>G9/J10</f>
        <v>1.0273212402345151</v>
      </c>
      <c r="N12">
        <f t="shared" ref="N12" si="66">N27</f>
        <v>2031</v>
      </c>
      <c r="O12" s="81">
        <f t="shared" ref="O12:S12" si="67">1-O27</f>
        <v>0.32831694536031875</v>
      </c>
      <c r="P12" s="81">
        <f t="shared" si="67"/>
        <v>0.53450819586486564</v>
      </c>
      <c r="Q12" s="81">
        <f t="shared" si="67"/>
        <v>0.59150911825667873</v>
      </c>
      <c r="R12" s="81">
        <f t="shared" si="67"/>
        <v>0.62949400445321002</v>
      </c>
      <c r="S12" s="81">
        <f t="shared" si="67"/>
        <v>0.66750248374675825</v>
      </c>
      <c r="U12">
        <v>2030</v>
      </c>
      <c r="W12">
        <f>W14*(1-W11)</f>
        <v>19205.625865883099</v>
      </c>
      <c r="X12">
        <f t="shared" ref="X12:Z12" si="68">X14*(1-X11)</f>
        <v>16853.916576183132</v>
      </c>
      <c r="Y12">
        <f t="shared" si="68"/>
        <v>15286.110383049816</v>
      </c>
      <c r="Z12">
        <f t="shared" si="68"/>
        <v>13718.3041899165</v>
      </c>
      <c r="AC12" t="s">
        <v>271</v>
      </c>
      <c r="AE12" t="s">
        <v>283</v>
      </c>
      <c r="AR12" t="s">
        <v>284</v>
      </c>
      <c r="AW12" t="s">
        <v>279</v>
      </c>
      <c r="BB12" s="150" t="s">
        <v>279</v>
      </c>
    </row>
    <row r="13" spans="1:54" ht="26.5" customHeight="1" x14ac:dyDescent="0.35">
      <c r="B13" t="s">
        <v>1</v>
      </c>
      <c r="C13" t="s">
        <v>271</v>
      </c>
      <c r="D13" t="s">
        <v>272</v>
      </c>
      <c r="E13" t="s">
        <v>273</v>
      </c>
      <c r="F13" t="s">
        <v>274</v>
      </c>
      <c r="G13" t="s">
        <v>275</v>
      </c>
      <c r="I13" t="str">
        <f>C13</f>
        <v>WAM</v>
      </c>
      <c r="J13" t="str">
        <f t="shared" ref="J13:M13" si="69">D13</f>
        <v>E51A51</v>
      </c>
      <c r="K13" t="str">
        <f t="shared" si="69"/>
        <v>E57A40</v>
      </c>
      <c r="L13" t="str">
        <f t="shared" si="69"/>
        <v>E61A33</v>
      </c>
      <c r="M13" t="str">
        <f t="shared" si="69"/>
        <v>E65A25</v>
      </c>
      <c r="N13" t="str">
        <f>B13</f>
        <v>Year</v>
      </c>
      <c r="O13" t="str">
        <f t="shared" ref="O13:R13" si="70">C13</f>
        <v>WAM</v>
      </c>
      <c r="P13" t="str">
        <f t="shared" si="70"/>
        <v>E51A51</v>
      </c>
      <c r="Q13" t="str">
        <f t="shared" si="70"/>
        <v>E57A40</v>
      </c>
      <c r="R13" t="str">
        <f t="shared" si="70"/>
        <v>E61A33</v>
      </c>
      <c r="S13" t="str">
        <f t="shared" ref="S13" si="71">G13</f>
        <v>E65A25</v>
      </c>
      <c r="U13" t="str">
        <f>N13</f>
        <v>Year</v>
      </c>
      <c r="V13" t="str">
        <f t="shared" ref="V13:Z13" si="72">O13</f>
        <v>WAM</v>
      </c>
      <c r="W13" t="str">
        <f t="shared" si="72"/>
        <v>E51A51</v>
      </c>
      <c r="X13" t="str">
        <f t="shared" si="72"/>
        <v>E57A40</v>
      </c>
      <c r="Y13" t="str">
        <f t="shared" si="72"/>
        <v>E61A33</v>
      </c>
      <c r="Z13" t="str">
        <f t="shared" si="72"/>
        <v>E65A25</v>
      </c>
      <c r="AB13" t="s">
        <v>284</v>
      </c>
      <c r="AC13" t="s">
        <v>279</v>
      </c>
      <c r="AE13" t="str">
        <f>U13</f>
        <v>Year</v>
      </c>
      <c r="AF13" t="str">
        <f t="shared" ref="AF13:AJ13" si="73">V13</f>
        <v>WAM</v>
      </c>
      <c r="AG13" t="str">
        <f t="shared" si="73"/>
        <v>E51A51</v>
      </c>
      <c r="AH13" t="str">
        <f t="shared" si="73"/>
        <v>E57A40</v>
      </c>
      <c r="AI13" t="str">
        <f t="shared" si="73"/>
        <v>E61A33</v>
      </c>
      <c r="AJ13" t="str">
        <f t="shared" si="73"/>
        <v>E65A25</v>
      </c>
      <c r="AM13" t="str">
        <f>AG13</f>
        <v>E51A51</v>
      </c>
      <c r="AN13" t="str">
        <f t="shared" ref="AN13:AP13" si="74">AH13</f>
        <v>E57A40</v>
      </c>
      <c r="AO13" t="str">
        <f t="shared" si="74"/>
        <v>E61A33</v>
      </c>
      <c r="AP13" t="str">
        <f t="shared" si="74"/>
        <v>E65A25</v>
      </c>
      <c r="AR13" t="str">
        <f>AG13</f>
        <v>E51A51</v>
      </c>
      <c r="AS13" t="str">
        <f t="shared" ref="AS13:AU13" si="75">AH13</f>
        <v>E57A40</v>
      </c>
      <c r="AT13" t="str">
        <f t="shared" si="75"/>
        <v>E61A33</v>
      </c>
      <c r="AU13" t="str">
        <f t="shared" si="75"/>
        <v>E65A25</v>
      </c>
      <c r="AW13" t="str">
        <f>AG13</f>
        <v>E51A51</v>
      </c>
      <c r="AX13" t="str">
        <f t="shared" ref="AX13:AZ13" si="76">AH13</f>
        <v>E57A40</v>
      </c>
      <c r="AY13" t="str">
        <f t="shared" si="76"/>
        <v>E61A33</v>
      </c>
      <c r="AZ13" t="str">
        <f t="shared" si="76"/>
        <v>E65A25</v>
      </c>
      <c r="BB13" s="151" t="s">
        <v>333</v>
      </c>
    </row>
    <row r="14" spans="1:54" x14ac:dyDescent="0.35">
      <c r="B14">
        <v>2018</v>
      </c>
      <c r="C14" s="86">
        <f>C9</f>
        <v>40266.015069426758</v>
      </c>
      <c r="D14" s="86">
        <f t="shared" ref="D14:G14" si="77">D9</f>
        <v>40266.015069426758</v>
      </c>
      <c r="E14" s="86">
        <f t="shared" si="77"/>
        <v>40266.015069426758</v>
      </c>
      <c r="F14" s="86">
        <f t="shared" si="77"/>
        <v>40266.015069426758</v>
      </c>
      <c r="G14" s="86">
        <f t="shared" si="77"/>
        <v>40266.015069426758</v>
      </c>
      <c r="H14" s="86">
        <f t="shared" ref="H14:H46" si="78">B14</f>
        <v>2018</v>
      </c>
      <c r="I14" s="86">
        <f>C14/$J$12</f>
        <v>39195.154828332859</v>
      </c>
      <c r="J14" s="86">
        <f t="shared" ref="J14:M14" si="79">D14/$J$12</f>
        <v>39195.154828332859</v>
      </c>
      <c r="K14" s="86">
        <f t="shared" si="79"/>
        <v>39195.154828332859</v>
      </c>
      <c r="L14" s="86">
        <f t="shared" si="79"/>
        <v>39195.154828332859</v>
      </c>
      <c r="M14" s="86">
        <f t="shared" si="79"/>
        <v>39195.154828332859</v>
      </c>
      <c r="N14">
        <f>B14</f>
        <v>2018</v>
      </c>
      <c r="O14" s="3">
        <f>C14/C$14</f>
        <v>1</v>
      </c>
      <c r="P14" s="3">
        <f t="shared" ref="P14:P46" si="80">D14/D$14</f>
        <v>1</v>
      </c>
      <c r="Q14" s="3">
        <f t="shared" ref="Q14:Q46" si="81">E14/E$14</f>
        <v>1</v>
      </c>
      <c r="R14" s="3">
        <f t="shared" ref="R14:R46" si="82">F14/F$14</f>
        <v>1</v>
      </c>
      <c r="S14" s="3">
        <f t="shared" ref="S14:S46" si="83">G14/G$14</f>
        <v>1</v>
      </c>
      <c r="U14">
        <f t="shared" ref="U14:U46" si="84">N14</f>
        <v>2018</v>
      </c>
      <c r="V14" s="86">
        <f>I14</f>
        <v>39195.154828332859</v>
      </c>
      <c r="W14" s="86">
        <f t="shared" ref="W14:W46" si="85">J14</f>
        <v>39195.154828332859</v>
      </c>
      <c r="X14" s="86">
        <f t="shared" ref="X14:X46" si="86">K14</f>
        <v>39195.154828332859</v>
      </c>
      <c r="Y14" s="86">
        <f t="shared" ref="Y14:Y46" si="87">L14</f>
        <v>39195.154828332859</v>
      </c>
      <c r="Z14" s="86">
        <f t="shared" ref="Z14:Z46" si="88">M14</f>
        <v>39195.154828332859</v>
      </c>
      <c r="AB14" s="102">
        <f>'F-Gases'!C37</f>
        <v>937.60934934465604</v>
      </c>
      <c r="AC14" s="86">
        <f>'CO2 1990-2019'!J108</f>
        <v>3920.3557882250971</v>
      </c>
      <c r="AE14">
        <f>U14</f>
        <v>2018</v>
      </c>
      <c r="AF14" s="86">
        <f>V14+$AB14+$AC14</f>
        <v>44053.11996590261</v>
      </c>
      <c r="AG14" s="86">
        <f>W14+AR14+$BB14</f>
        <v>44053.11996590261</v>
      </c>
      <c r="AH14" s="86">
        <f t="shared" ref="AH14:AJ14" si="89">X14+AS14+$BB14</f>
        <v>44053.11996590261</v>
      </c>
      <c r="AI14" s="86">
        <f t="shared" si="89"/>
        <v>44053.11996590261</v>
      </c>
      <c r="AJ14" s="86">
        <f t="shared" si="89"/>
        <v>44053.11996590261</v>
      </c>
      <c r="AL14" s="88">
        <f>AF14/AF$14</f>
        <v>1</v>
      </c>
      <c r="AM14" s="88">
        <f t="shared" ref="AM14:AP14" si="90">AG14/AG$14</f>
        <v>1</v>
      </c>
      <c r="AN14" s="88">
        <f t="shared" si="90"/>
        <v>1</v>
      </c>
      <c r="AO14" s="88">
        <f t="shared" si="90"/>
        <v>1</v>
      </c>
      <c r="AP14" s="88">
        <f t="shared" si="90"/>
        <v>1</v>
      </c>
      <c r="AQ14" s="86">
        <f>AE14</f>
        <v>2018</v>
      </c>
      <c r="AR14" s="102">
        <f>AB14</f>
        <v>937.60934934465604</v>
      </c>
      <c r="AS14" s="102">
        <f>AR14</f>
        <v>937.60934934465604</v>
      </c>
      <c r="AT14" s="102">
        <f t="shared" ref="AT14:AU14" si="91">AS14</f>
        <v>937.60934934465604</v>
      </c>
      <c r="AU14" s="102">
        <f t="shared" si="91"/>
        <v>937.60934934465604</v>
      </c>
      <c r="AW14" s="86">
        <f>BB14</f>
        <v>3920.3557882250971</v>
      </c>
      <c r="AX14" s="86">
        <f>AW14</f>
        <v>3920.3557882250971</v>
      </c>
      <c r="AY14" s="86">
        <f t="shared" ref="AY14:AZ14" si="92">AX14</f>
        <v>3920.3557882250971</v>
      </c>
      <c r="AZ14" s="86">
        <f t="shared" si="92"/>
        <v>3920.3557882250971</v>
      </c>
      <c r="BB14" s="152">
        <f>AC14</f>
        <v>3920.3557882250971</v>
      </c>
    </row>
    <row r="15" spans="1:54" x14ac:dyDescent="0.35">
      <c r="B15">
        <v>2019</v>
      </c>
      <c r="C15" s="86">
        <v>39357.509157449851</v>
      </c>
      <c r="D15" s="86">
        <v>39357.509157449851</v>
      </c>
      <c r="E15" s="86">
        <v>39357.509157449851</v>
      </c>
      <c r="F15" s="86">
        <v>39357.509157449851</v>
      </c>
      <c r="G15" s="86">
        <v>39357.509157449851</v>
      </c>
      <c r="H15" s="86">
        <f t="shared" si="78"/>
        <v>2019</v>
      </c>
      <c r="I15" s="86">
        <f>C15/$J$12</f>
        <v>38310.810305513965</v>
      </c>
      <c r="J15" s="86">
        <f>D15/$J$12</f>
        <v>38310.810305513965</v>
      </c>
      <c r="K15" s="86">
        <f t="shared" ref="K15:K46" si="93">E15/$J$12</f>
        <v>38310.810305513965</v>
      </c>
      <c r="L15" s="86">
        <f t="shared" ref="L15:L46" si="94">F15/$J$12</f>
        <v>38310.810305513965</v>
      </c>
      <c r="M15" s="86">
        <f t="shared" ref="M15:M46" si="95">G15/$J$12</f>
        <v>38310.810305513965</v>
      </c>
      <c r="N15">
        <f t="shared" ref="N15:N46" si="96">B15</f>
        <v>2019</v>
      </c>
      <c r="O15" s="3">
        <f t="shared" ref="O15:O46" si="97">C15/C$14</f>
        <v>0.97743740197756201</v>
      </c>
      <c r="P15" s="3">
        <f t="shared" si="80"/>
        <v>0.97743740197756201</v>
      </c>
      <c r="Q15" s="3">
        <f t="shared" si="81"/>
        <v>0.97743740197756201</v>
      </c>
      <c r="R15" s="3">
        <f t="shared" si="82"/>
        <v>0.97743740197756201</v>
      </c>
      <c r="S15" s="3">
        <f t="shared" si="83"/>
        <v>0.97743740197756201</v>
      </c>
      <c r="U15">
        <f t="shared" si="84"/>
        <v>2019</v>
      </c>
      <c r="V15" s="86">
        <f>I15</f>
        <v>38310.810305513965</v>
      </c>
      <c r="W15" s="86">
        <f>J15</f>
        <v>38310.810305513965</v>
      </c>
      <c r="X15" s="86">
        <f t="shared" si="86"/>
        <v>38310.810305513965</v>
      </c>
      <c r="Y15" s="86">
        <f t="shared" si="87"/>
        <v>38310.810305513965</v>
      </c>
      <c r="Z15" s="86">
        <f t="shared" si="88"/>
        <v>38310.810305513965</v>
      </c>
      <c r="AB15" s="102">
        <f>'F-Gases'!C38</f>
        <v>916.4698759914171</v>
      </c>
      <c r="AC15" s="86">
        <f>'WAM Projections'!J3</f>
        <v>3619.7231938846935</v>
      </c>
      <c r="AE15">
        <f t="shared" ref="AE15:AE46" si="98">U15</f>
        <v>2019</v>
      </c>
      <c r="AF15" s="86">
        <f>V15+$AB15+$AC15</f>
        <v>42847.003375390079</v>
      </c>
      <c r="AG15" s="86">
        <f>W15+AR15+$BB15</f>
        <v>42847.003375390079</v>
      </c>
      <c r="AH15" s="86">
        <f t="shared" ref="AH15:AH46" si="99">X15+AS15+$BB15</f>
        <v>42847.003375390079</v>
      </c>
      <c r="AI15" s="86">
        <f t="shared" ref="AI15:AI46" si="100">Y15+AT15+$BB15</f>
        <v>42847.003375390079</v>
      </c>
      <c r="AJ15" s="86">
        <f t="shared" ref="AJ15:AJ46" si="101">Z15+AU15+$BB15</f>
        <v>42847.003375390079</v>
      </c>
      <c r="AL15" s="88">
        <f t="shared" ref="AL15:AL46" si="102">AF15/AF$14</f>
        <v>0.9726213128276483</v>
      </c>
      <c r="AM15" s="88">
        <f t="shared" ref="AM15:AM46" si="103">AG15/AG$14</f>
        <v>0.9726213128276483</v>
      </c>
      <c r="AN15" s="88">
        <f t="shared" ref="AN15:AN46" si="104">AH15/AH$14</f>
        <v>0.9726213128276483</v>
      </c>
      <c r="AO15" s="88">
        <f t="shared" ref="AO15:AO46" si="105">AI15/AI$14</f>
        <v>0.9726213128276483</v>
      </c>
      <c r="AP15" s="88">
        <f t="shared" ref="AP15:AP46" si="106">AJ15/AJ$14</f>
        <v>0.9726213128276483</v>
      </c>
      <c r="AQ15" s="86">
        <f t="shared" ref="AQ15:AQ16" si="107">AE15</f>
        <v>2019</v>
      </c>
      <c r="AR15" s="102">
        <f t="shared" ref="AR15:AR16" si="108">AB15</f>
        <v>916.4698759914171</v>
      </c>
      <c r="AS15" s="102">
        <f t="shared" ref="AS15:AU15" si="109">AR15</f>
        <v>916.4698759914171</v>
      </c>
      <c r="AT15" s="102">
        <f t="shared" si="109"/>
        <v>916.4698759914171</v>
      </c>
      <c r="AU15" s="102">
        <f t="shared" si="109"/>
        <v>916.4698759914171</v>
      </c>
      <c r="AW15" s="86">
        <f t="shared" ref="AW15:AW46" si="110">BB15</f>
        <v>3619.7231938846935</v>
      </c>
      <c r="AX15" s="86">
        <f t="shared" ref="AX15:AZ15" si="111">AW15</f>
        <v>3619.7231938846935</v>
      </c>
      <c r="AY15" s="86">
        <f t="shared" si="111"/>
        <v>3619.7231938846935</v>
      </c>
      <c r="AZ15" s="86">
        <f t="shared" si="111"/>
        <v>3619.7231938846935</v>
      </c>
      <c r="BB15" s="152">
        <f t="shared" ref="BB15" si="112">AC15</f>
        <v>3619.7231938846935</v>
      </c>
    </row>
    <row r="16" spans="1:54" x14ac:dyDescent="0.35">
      <c r="B16">
        <v>2020</v>
      </c>
      <c r="C16" s="86">
        <v>33791.999999999964</v>
      </c>
      <c r="D16" s="86">
        <v>33791.999999999964</v>
      </c>
      <c r="E16" s="86">
        <v>33791.999999999964</v>
      </c>
      <c r="F16" s="86">
        <v>33791.999999999964</v>
      </c>
      <c r="G16" s="86">
        <v>33791.999999999964</v>
      </c>
      <c r="H16" s="86">
        <f t="shared" si="78"/>
        <v>2020</v>
      </c>
      <c r="I16" s="86">
        <f t="shared" ref="I16:I46" si="113">C16/$J$12</f>
        <v>32893.313869657737</v>
      </c>
      <c r="J16" s="86">
        <f t="shared" ref="J16:J46" si="114">D16/$J$12</f>
        <v>32893.313869657737</v>
      </c>
      <c r="K16" s="86">
        <f t="shared" si="93"/>
        <v>32893.313869657737</v>
      </c>
      <c r="L16" s="86">
        <f t="shared" si="94"/>
        <v>32893.313869657737</v>
      </c>
      <c r="M16" s="86">
        <f t="shared" si="95"/>
        <v>32893.313869657737</v>
      </c>
      <c r="N16">
        <f t="shared" si="96"/>
        <v>2020</v>
      </c>
      <c r="O16" s="3">
        <f t="shared" si="97"/>
        <v>0.83921887829564756</v>
      </c>
      <c r="P16" s="3">
        <f t="shared" si="80"/>
        <v>0.83921887829564756</v>
      </c>
      <c r="Q16" s="3">
        <f t="shared" si="81"/>
        <v>0.83921887829564756</v>
      </c>
      <c r="R16" s="3">
        <f t="shared" si="82"/>
        <v>0.83921887829564756</v>
      </c>
      <c r="S16" s="3">
        <f t="shared" si="83"/>
        <v>0.83921887829564756</v>
      </c>
      <c r="U16">
        <f t="shared" si="84"/>
        <v>2020</v>
      </c>
      <c r="V16" s="86">
        <f t="shared" ref="V16:V46" si="115">I16</f>
        <v>32893.313869657737</v>
      </c>
      <c r="W16" s="86">
        <f t="shared" si="85"/>
        <v>32893.313869657737</v>
      </c>
      <c r="X16" s="86">
        <f t="shared" si="86"/>
        <v>32893.313869657737</v>
      </c>
      <c r="Y16" s="86">
        <f t="shared" si="87"/>
        <v>32893.313869657737</v>
      </c>
      <c r="Z16" s="86">
        <f t="shared" si="88"/>
        <v>32893.313869657737</v>
      </c>
      <c r="AB16" s="102">
        <f>'F-Gases'!C39</f>
        <v>916.4698759914171</v>
      </c>
      <c r="AC16" s="86">
        <f>'WAM Projections'!J4</f>
        <v>3439.9425527783005</v>
      </c>
      <c r="AE16">
        <f t="shared" si="98"/>
        <v>2020</v>
      </c>
      <c r="AF16" s="86">
        <f>V16+$AB16+$AC16</f>
        <v>37249.726298427457</v>
      </c>
      <c r="AG16" s="86">
        <f t="shared" ref="AG16:AG46" si="116">W16+AR16+$BB16</f>
        <v>37397.075829274356</v>
      </c>
      <c r="AH16" s="86">
        <f t="shared" si="99"/>
        <v>37397.075829274356</v>
      </c>
      <c r="AI16" s="86">
        <f t="shared" si="100"/>
        <v>37397.075829274356</v>
      </c>
      <c r="AJ16" s="86">
        <f t="shared" si="101"/>
        <v>37397.075829274356</v>
      </c>
      <c r="AL16" s="88">
        <f t="shared" si="102"/>
        <v>0.84556386306484033</v>
      </c>
      <c r="AM16" s="88">
        <f t="shared" si="103"/>
        <v>0.84890867793745206</v>
      </c>
      <c r="AN16" s="88">
        <f t="shared" si="104"/>
        <v>0.84890867793745206</v>
      </c>
      <c r="AO16" s="88">
        <f t="shared" si="105"/>
        <v>0.84890867793745206</v>
      </c>
      <c r="AP16" s="88">
        <f t="shared" si="106"/>
        <v>0.84890867793745206</v>
      </c>
      <c r="AQ16" s="86">
        <f t="shared" si="107"/>
        <v>2020</v>
      </c>
      <c r="AR16" s="102">
        <f t="shared" si="108"/>
        <v>916.4698759914171</v>
      </c>
      <c r="AS16" s="102">
        <f t="shared" ref="AS16:AU16" si="117">AR16</f>
        <v>916.4698759914171</v>
      </c>
      <c r="AT16" s="102">
        <f t="shared" si="117"/>
        <v>916.4698759914171</v>
      </c>
      <c r="AU16" s="102">
        <f t="shared" si="117"/>
        <v>916.4698759914171</v>
      </c>
      <c r="AW16" s="86">
        <f t="shared" si="110"/>
        <v>3587.2920836252001</v>
      </c>
      <c r="AX16" s="86">
        <f t="shared" ref="AX16:AZ16" si="118">AW16</f>
        <v>3587.2920836252001</v>
      </c>
      <c r="AY16" s="86">
        <f t="shared" si="118"/>
        <v>3587.2920836252001</v>
      </c>
      <c r="AZ16" s="86">
        <f t="shared" si="118"/>
        <v>3587.2920836252001</v>
      </c>
      <c r="BB16" s="152">
        <f>'LULUCF Models'!N4</f>
        <v>3587.2920836252001</v>
      </c>
    </row>
    <row r="17" spans="2:54" x14ac:dyDescent="0.35">
      <c r="B17">
        <v>2021</v>
      </c>
      <c r="C17" s="86">
        <v>35644.000000000029</v>
      </c>
      <c r="D17" s="86">
        <v>35644.000000000044</v>
      </c>
      <c r="E17" s="86">
        <v>35643.999999999985</v>
      </c>
      <c r="F17" s="86">
        <v>35644.000000000036</v>
      </c>
      <c r="G17" s="86">
        <v>35644</v>
      </c>
      <c r="H17" s="86">
        <f t="shared" si="78"/>
        <v>2021</v>
      </c>
      <c r="I17" s="86">
        <f t="shared" si="113"/>
        <v>34696.060593338145</v>
      </c>
      <c r="J17" s="86">
        <f t="shared" si="114"/>
        <v>34696.060593338159</v>
      </c>
      <c r="K17" s="86">
        <f t="shared" si="93"/>
        <v>34696.060593338101</v>
      </c>
      <c r="L17" s="86">
        <f t="shared" si="94"/>
        <v>34696.060593338152</v>
      </c>
      <c r="M17" s="86">
        <f t="shared" si="95"/>
        <v>34696.060593338116</v>
      </c>
      <c r="N17">
        <f t="shared" si="96"/>
        <v>2021</v>
      </c>
      <c r="O17" s="3">
        <f t="shared" si="97"/>
        <v>0.88521300005830128</v>
      </c>
      <c r="P17" s="3">
        <f t="shared" si="80"/>
        <v>0.88521300005830161</v>
      </c>
      <c r="Q17" s="3">
        <f t="shared" si="81"/>
        <v>0.88521300005830017</v>
      </c>
      <c r="R17" s="3">
        <f t="shared" si="82"/>
        <v>0.8852130000583015</v>
      </c>
      <c r="S17" s="3">
        <f t="shared" si="83"/>
        <v>0.88521300005830061</v>
      </c>
      <c r="U17">
        <f t="shared" si="84"/>
        <v>2021</v>
      </c>
      <c r="V17" s="86">
        <f t="shared" si="115"/>
        <v>34696.060593338145</v>
      </c>
      <c r="W17" s="86">
        <f t="shared" si="85"/>
        <v>34696.060593338159</v>
      </c>
      <c r="X17" s="86">
        <f t="shared" si="86"/>
        <v>34696.060593338101</v>
      </c>
      <c r="Y17" s="86">
        <f t="shared" si="87"/>
        <v>34696.060593338152</v>
      </c>
      <c r="Z17" s="86">
        <f t="shared" si="88"/>
        <v>34696.060593338116</v>
      </c>
      <c r="AB17" s="102">
        <f>'F-Gases'!C40</f>
        <v>870.76574651016358</v>
      </c>
      <c r="AC17" s="86">
        <f>'WAM Projections'!J5</f>
        <v>3795.7324760059346</v>
      </c>
      <c r="AE17">
        <f t="shared" si="98"/>
        <v>2021</v>
      </c>
      <c r="AF17" s="86">
        <f t="shared" ref="AF17:AF46" si="119">V17+$AB17+$AC17</f>
        <v>39362.558815854245</v>
      </c>
      <c r="AG17" s="86">
        <f>W17+AR17+$BB17</f>
        <v>39448.958900266778</v>
      </c>
      <c r="AH17" s="86">
        <f t="shared" si="99"/>
        <v>39443.333244170659</v>
      </c>
      <c r="AI17" s="86">
        <f t="shared" si="100"/>
        <v>39439.582806773324</v>
      </c>
      <c r="AJ17" s="86">
        <f t="shared" si="101"/>
        <v>39435.832369375916</v>
      </c>
      <c r="AL17" s="88">
        <f t="shared" si="102"/>
        <v>0.89352488192257695</v>
      </c>
      <c r="AM17" s="88">
        <f t="shared" si="103"/>
        <v>0.89548615241782015</v>
      </c>
      <c r="AN17" s="88">
        <f t="shared" si="104"/>
        <v>0.89535845076807374</v>
      </c>
      <c r="AO17" s="88">
        <f t="shared" si="105"/>
        <v>0.89527331633491125</v>
      </c>
      <c r="AP17" s="88">
        <f t="shared" si="106"/>
        <v>0.8951881819017472</v>
      </c>
      <c r="AQ17" s="86">
        <f t="shared" ref="AQ17:AQ18" si="120">AE17</f>
        <v>2021</v>
      </c>
      <c r="AR17" s="102">
        <f>AR16-AR$8</f>
        <v>870.76574651016358</v>
      </c>
      <c r="AS17" s="102">
        <f t="shared" ref="AS17:AU18" si="121">AS16-AS$8</f>
        <v>865.14009041409565</v>
      </c>
      <c r="AT17" s="102">
        <f t="shared" si="121"/>
        <v>861.38965301671692</v>
      </c>
      <c r="AU17" s="102">
        <f t="shared" si="121"/>
        <v>857.6392156193383</v>
      </c>
      <c r="AW17" s="86">
        <f t="shared" si="110"/>
        <v>3882.1325604184567</v>
      </c>
      <c r="AX17" s="86">
        <f>AW17</f>
        <v>3882.1325604184567</v>
      </c>
      <c r="AY17" s="86">
        <f t="shared" ref="AY17:AZ17" si="122">AX17</f>
        <v>3882.1325604184567</v>
      </c>
      <c r="AZ17" s="86">
        <f t="shared" si="122"/>
        <v>3882.1325604184567</v>
      </c>
      <c r="BB17" s="152">
        <f>'LULUCF Models'!N5</f>
        <v>3882.1325604184567</v>
      </c>
    </row>
    <row r="18" spans="2:54" x14ac:dyDescent="0.35">
      <c r="B18">
        <v>2022</v>
      </c>
      <c r="C18" s="86">
        <v>36185.999999999985</v>
      </c>
      <c r="D18" s="86">
        <v>36186.000000000007</v>
      </c>
      <c r="E18" s="86">
        <v>36185.999999999993</v>
      </c>
      <c r="F18" s="86">
        <v>36186</v>
      </c>
      <c r="G18" s="86">
        <v>36186.000000000044</v>
      </c>
      <c r="H18" s="86">
        <f t="shared" si="78"/>
        <v>2022</v>
      </c>
      <c r="I18" s="86">
        <f t="shared" si="113"/>
        <v>35223.646297568528</v>
      </c>
      <c r="J18" s="86">
        <f t="shared" si="114"/>
        <v>35223.64629756855</v>
      </c>
      <c r="K18" s="86">
        <f t="shared" si="93"/>
        <v>35223.646297568535</v>
      </c>
      <c r="L18" s="86">
        <f t="shared" si="94"/>
        <v>35223.646297568543</v>
      </c>
      <c r="M18" s="86">
        <f t="shared" si="95"/>
        <v>35223.646297568586</v>
      </c>
      <c r="N18">
        <f t="shared" si="96"/>
        <v>2022</v>
      </c>
      <c r="O18" s="3">
        <f t="shared" si="97"/>
        <v>0.89867348277717574</v>
      </c>
      <c r="P18" s="3">
        <f t="shared" si="80"/>
        <v>0.89867348277717629</v>
      </c>
      <c r="Q18" s="3">
        <f t="shared" si="81"/>
        <v>0.89867348277717596</v>
      </c>
      <c r="R18" s="3">
        <f t="shared" si="82"/>
        <v>0.89867348277717607</v>
      </c>
      <c r="S18" s="3">
        <f t="shared" si="83"/>
        <v>0.89867348277717718</v>
      </c>
      <c r="U18">
        <f t="shared" si="84"/>
        <v>2022</v>
      </c>
      <c r="V18" s="86">
        <f t="shared" si="115"/>
        <v>35223.646297568528</v>
      </c>
      <c r="W18" s="86">
        <f t="shared" si="85"/>
        <v>35223.64629756855</v>
      </c>
      <c r="X18" s="86">
        <f t="shared" si="86"/>
        <v>35223.646297568535</v>
      </c>
      <c r="Y18" s="86">
        <f t="shared" si="87"/>
        <v>35223.646297568543</v>
      </c>
      <c r="Z18" s="86">
        <f t="shared" si="88"/>
        <v>35223.646297568586</v>
      </c>
      <c r="AB18" s="102">
        <f>'F-Gases'!C41</f>
        <v>825.06161702891006</v>
      </c>
      <c r="AC18" s="86">
        <f>'WAM Projections'!J6</f>
        <v>3959.0028352263907</v>
      </c>
      <c r="AE18">
        <f t="shared" si="98"/>
        <v>2022</v>
      </c>
      <c r="AF18" s="86">
        <f t="shared" si="119"/>
        <v>40007.710749823826</v>
      </c>
      <c r="AG18" s="86">
        <f t="shared" si="116"/>
        <v>39802.372696624298</v>
      </c>
      <c r="AH18" s="86">
        <f>X18+AS18+$BB18</f>
        <v>39791.121384432154</v>
      </c>
      <c r="AI18" s="86">
        <f t="shared" si="100"/>
        <v>39783.620509637403</v>
      </c>
      <c r="AJ18" s="86">
        <f t="shared" si="101"/>
        <v>39776.119634842689</v>
      </c>
      <c r="AL18" s="88">
        <f t="shared" si="102"/>
        <v>0.90816974554333596</v>
      </c>
      <c r="AM18" s="88">
        <f t="shared" si="103"/>
        <v>0.90350859887861701</v>
      </c>
      <c r="AN18" s="88">
        <f t="shared" si="104"/>
        <v>0.90325319557912653</v>
      </c>
      <c r="AO18" s="88">
        <f t="shared" si="105"/>
        <v>0.90308292671279977</v>
      </c>
      <c r="AP18" s="88">
        <f t="shared" si="106"/>
        <v>0.9029126578464739</v>
      </c>
      <c r="AQ18" s="86">
        <f t="shared" si="120"/>
        <v>2022</v>
      </c>
      <c r="AR18" s="102">
        <f>AR17-AR$8</f>
        <v>825.06161702891006</v>
      </c>
      <c r="AS18" s="102">
        <f t="shared" si="121"/>
        <v>813.81030483677421</v>
      </c>
      <c r="AT18" s="102">
        <f t="shared" si="121"/>
        <v>806.30943004201686</v>
      </c>
      <c r="AU18" s="102">
        <f t="shared" si="121"/>
        <v>798.80855524725951</v>
      </c>
      <c r="AW18" s="86">
        <f t="shared" si="110"/>
        <v>3753.6647820268413</v>
      </c>
      <c r="AX18" s="86">
        <f t="shared" ref="AX18:AZ18" si="123">AW18</f>
        <v>3753.6647820268413</v>
      </c>
      <c r="AY18" s="86">
        <f t="shared" si="123"/>
        <v>3753.6647820268413</v>
      </c>
      <c r="AZ18" s="86">
        <f t="shared" si="123"/>
        <v>3753.6647820268413</v>
      </c>
      <c r="BB18" s="152">
        <f>'LULUCF Models'!N6</f>
        <v>3753.6647820268413</v>
      </c>
    </row>
    <row r="19" spans="2:54" x14ac:dyDescent="0.35">
      <c r="B19">
        <v>2023</v>
      </c>
      <c r="C19" s="86">
        <v>35729.000000000044</v>
      </c>
      <c r="D19" s="86">
        <v>35729.000000000007</v>
      </c>
      <c r="E19" s="86">
        <v>35729.000000000051</v>
      </c>
      <c r="F19" s="86">
        <v>35728.999999999964</v>
      </c>
      <c r="G19" s="86">
        <v>35728.999999999956</v>
      </c>
      <c r="H19" s="86">
        <f t="shared" si="78"/>
        <v>2023</v>
      </c>
      <c r="I19" s="86">
        <f t="shared" si="113"/>
        <v>34778.80004879865</v>
      </c>
      <c r="J19" s="86">
        <f t="shared" si="114"/>
        <v>34778.800048798614</v>
      </c>
      <c r="K19" s="86">
        <f t="shared" si="93"/>
        <v>34778.800048798657</v>
      </c>
      <c r="L19" s="86">
        <f t="shared" si="94"/>
        <v>34778.80004879857</v>
      </c>
      <c r="M19" s="86">
        <f t="shared" si="95"/>
        <v>34778.800048798563</v>
      </c>
      <c r="N19">
        <f t="shared" si="96"/>
        <v>2023</v>
      </c>
      <c r="O19" s="3">
        <f t="shared" si="97"/>
        <v>0.88732396137030245</v>
      </c>
      <c r="P19" s="3">
        <f t="shared" si="80"/>
        <v>0.88732396137030156</v>
      </c>
      <c r="Q19" s="3">
        <f t="shared" si="81"/>
        <v>0.88732396137030256</v>
      </c>
      <c r="R19" s="3">
        <f t="shared" si="82"/>
        <v>0.88732396137030045</v>
      </c>
      <c r="S19" s="3">
        <f t="shared" si="83"/>
        <v>0.88732396137030023</v>
      </c>
      <c r="U19">
        <f t="shared" si="84"/>
        <v>2023</v>
      </c>
      <c r="V19" s="86">
        <f t="shared" si="115"/>
        <v>34778.80004879865</v>
      </c>
      <c r="W19" s="86">
        <f t="shared" si="85"/>
        <v>34778.800048798614</v>
      </c>
      <c r="X19" s="86">
        <f t="shared" si="86"/>
        <v>34778.800048798657</v>
      </c>
      <c r="Y19" s="86">
        <f t="shared" si="87"/>
        <v>34778.80004879857</v>
      </c>
      <c r="Z19" s="86">
        <f t="shared" si="88"/>
        <v>34778.800048798563</v>
      </c>
      <c r="AB19" s="102">
        <f>'F-Gases'!C42</f>
        <v>779.35748754765655</v>
      </c>
      <c r="AC19" s="86">
        <f>'WAM Projections'!J7</f>
        <v>5781.878600279033</v>
      </c>
      <c r="AE19">
        <f t="shared" si="98"/>
        <v>2023</v>
      </c>
      <c r="AF19" s="86">
        <f t="shared" si="119"/>
        <v>41340.036136625335</v>
      </c>
      <c r="AG19" s="86">
        <f t="shared" si="116"/>
        <v>40485.152302519484</v>
      </c>
      <c r="AH19" s="86">
        <f t="shared" si="99"/>
        <v>40468.275334231323</v>
      </c>
      <c r="AI19" s="86">
        <f t="shared" si="100"/>
        <v>40457.024022039099</v>
      </c>
      <c r="AJ19" s="86">
        <f t="shared" si="101"/>
        <v>40445.772709846955</v>
      </c>
      <c r="AL19" s="88">
        <f t="shared" si="102"/>
        <v>0.93841335570835349</v>
      </c>
      <c r="AM19" s="88">
        <f t="shared" si="103"/>
        <v>0.9190076056782186</v>
      </c>
      <c r="AN19" s="88">
        <f t="shared" si="104"/>
        <v>0.91862450072898405</v>
      </c>
      <c r="AO19" s="88">
        <f t="shared" si="105"/>
        <v>0.91836909742949169</v>
      </c>
      <c r="AP19" s="88">
        <f t="shared" si="106"/>
        <v>0.9181136941300011</v>
      </c>
      <c r="AQ19" s="86">
        <f t="shared" ref="AQ19:AQ28" si="124">AE19</f>
        <v>2023</v>
      </c>
      <c r="AR19" s="102">
        <f t="shared" ref="AR19:AU25" si="125">AR18-AR$8</f>
        <v>779.35748754765655</v>
      </c>
      <c r="AS19" s="102">
        <f t="shared" si="125"/>
        <v>762.48051925945276</v>
      </c>
      <c r="AT19" s="102">
        <f t="shared" si="125"/>
        <v>751.22920706731679</v>
      </c>
      <c r="AU19" s="102">
        <f t="shared" si="125"/>
        <v>739.97789487518071</v>
      </c>
      <c r="AW19" s="86">
        <f t="shared" si="110"/>
        <v>4926.9947661732131</v>
      </c>
      <c r="AX19" s="86">
        <f t="shared" ref="AX19:AZ19" si="126">AW19</f>
        <v>4926.9947661732131</v>
      </c>
      <c r="AY19" s="86">
        <f t="shared" si="126"/>
        <v>4926.9947661732131</v>
      </c>
      <c r="AZ19" s="86">
        <f t="shared" si="126"/>
        <v>4926.9947661732131</v>
      </c>
      <c r="BB19" s="152">
        <f>'LULUCF Models'!N7</f>
        <v>4926.9947661732131</v>
      </c>
    </row>
    <row r="20" spans="2:54" x14ac:dyDescent="0.35">
      <c r="B20">
        <v>2024</v>
      </c>
      <c r="C20" s="86">
        <v>34338.999999999971</v>
      </c>
      <c r="D20" s="86">
        <v>32822.999999999956</v>
      </c>
      <c r="E20" s="86">
        <v>32216.000000000018</v>
      </c>
      <c r="F20" s="86">
        <v>31770.000000000036</v>
      </c>
      <c r="G20" s="86">
        <v>31281.999999999985</v>
      </c>
      <c r="H20" s="86">
        <f t="shared" si="78"/>
        <v>2024</v>
      </c>
      <c r="I20" s="86">
        <f t="shared" si="113"/>
        <v>33425.766600679963</v>
      </c>
      <c r="J20" s="86">
        <f t="shared" si="114"/>
        <v>31950.084077408133</v>
      </c>
      <c r="K20" s="86">
        <f t="shared" si="93"/>
        <v>31359.227024884451</v>
      </c>
      <c r="L20" s="86">
        <f t="shared" si="94"/>
        <v>30925.088235056483</v>
      </c>
      <c r="M20" s="86">
        <f t="shared" si="95"/>
        <v>30450.06642017738</v>
      </c>
      <c r="N20">
        <f t="shared" si="96"/>
        <v>2024</v>
      </c>
      <c r="O20" s="3">
        <f t="shared" si="97"/>
        <v>0.85280353520934682</v>
      </c>
      <c r="P20" s="3">
        <f t="shared" si="80"/>
        <v>0.81515391933883852</v>
      </c>
      <c r="Q20" s="3">
        <f t="shared" si="81"/>
        <v>0.80007917208725809</v>
      </c>
      <c r="R20" s="3">
        <f t="shared" si="82"/>
        <v>0.78900283390899562</v>
      </c>
      <c r="S20" s="3">
        <f t="shared" si="83"/>
        <v>0.77688343249421343</v>
      </c>
      <c r="U20">
        <f t="shared" si="84"/>
        <v>2024</v>
      </c>
      <c r="V20" s="86">
        <f t="shared" si="115"/>
        <v>33425.766600679963</v>
      </c>
      <c r="W20" s="86">
        <f t="shared" si="85"/>
        <v>31950.084077408133</v>
      </c>
      <c r="X20" s="86">
        <f t="shared" si="86"/>
        <v>31359.227024884451</v>
      </c>
      <c r="Y20" s="86">
        <f t="shared" si="87"/>
        <v>30925.088235056483</v>
      </c>
      <c r="Z20" s="86">
        <f t="shared" si="88"/>
        <v>30450.06642017738</v>
      </c>
      <c r="AB20" s="102">
        <f>'F-Gases'!C43</f>
        <v>733.65335806640303</v>
      </c>
      <c r="AC20" s="86">
        <f>'WAM Projections'!J8</f>
        <v>4939.3520561045161</v>
      </c>
      <c r="AE20">
        <f t="shared" si="98"/>
        <v>2024</v>
      </c>
      <c r="AF20" s="86">
        <f t="shared" si="119"/>
        <v>39098.772014850882</v>
      </c>
      <c r="AG20" s="86">
        <f t="shared" si="116"/>
        <v>36482.080662790657</v>
      </c>
      <c r="AH20" s="86">
        <f t="shared" si="99"/>
        <v>35868.720985882705</v>
      </c>
      <c r="AI20" s="86">
        <f t="shared" si="100"/>
        <v>35419.580446465217</v>
      </c>
      <c r="AJ20" s="86">
        <f t="shared" si="101"/>
        <v>34929.556881996607</v>
      </c>
      <c r="AL20" s="88">
        <f t="shared" si="102"/>
        <v>0.887536956408844</v>
      </c>
      <c r="AM20" s="88">
        <f t="shared" si="103"/>
        <v>0.82813840860824417</v>
      </c>
      <c r="AN20" s="88">
        <f t="shared" si="104"/>
        <v>0.81421522502027821</v>
      </c>
      <c r="AO20" s="88">
        <f t="shared" si="105"/>
        <v>0.80401979414579927</v>
      </c>
      <c r="AP20" s="88">
        <f t="shared" si="106"/>
        <v>0.79289632400684229</v>
      </c>
      <c r="AQ20" s="86">
        <f t="shared" si="124"/>
        <v>2024</v>
      </c>
      <c r="AR20" s="102">
        <f t="shared" si="125"/>
        <v>733.65335806640303</v>
      </c>
      <c r="AS20" s="102">
        <f t="shared" si="125"/>
        <v>711.15073368213132</v>
      </c>
      <c r="AT20" s="102">
        <f t="shared" si="125"/>
        <v>696.14898409261673</v>
      </c>
      <c r="AU20" s="102">
        <f t="shared" si="125"/>
        <v>681.14723450310191</v>
      </c>
      <c r="AW20" s="86">
        <f t="shared" si="110"/>
        <v>3798.3432273161211</v>
      </c>
      <c r="AX20" s="86">
        <f t="shared" ref="AX20:AZ20" si="127">AW20</f>
        <v>3798.3432273161211</v>
      </c>
      <c r="AY20" s="86">
        <f t="shared" si="127"/>
        <v>3798.3432273161211</v>
      </c>
      <c r="AZ20" s="86">
        <f t="shared" si="127"/>
        <v>3798.3432273161211</v>
      </c>
      <c r="BB20" s="152">
        <f>'LULUCF Models'!N8</f>
        <v>3798.3432273161211</v>
      </c>
    </row>
    <row r="21" spans="2:54" x14ac:dyDescent="0.35">
      <c r="B21">
        <v>2025</v>
      </c>
      <c r="C21" s="86">
        <v>32911.999999999956</v>
      </c>
      <c r="D21" s="86">
        <v>30152.999999999975</v>
      </c>
      <c r="E21" s="86">
        <v>29048.999999999978</v>
      </c>
      <c r="F21" s="86">
        <v>28250.000000000022</v>
      </c>
      <c r="G21" s="86">
        <v>27389.999999999964</v>
      </c>
      <c r="H21" s="86">
        <f t="shared" si="78"/>
        <v>2025</v>
      </c>
      <c r="I21" s="86">
        <f t="shared" si="113"/>
        <v>32036.717154302059</v>
      </c>
      <c r="J21" s="86">
        <f t="shared" si="114"/>
        <v>29351.091770590378</v>
      </c>
      <c r="K21" s="86">
        <f t="shared" si="93"/>
        <v>28276.452254962354</v>
      </c>
      <c r="L21" s="86">
        <f t="shared" si="94"/>
        <v>27498.701373633783</v>
      </c>
      <c r="M21" s="86">
        <f t="shared" si="95"/>
        <v>26661.572765445231</v>
      </c>
      <c r="N21">
        <f t="shared" si="96"/>
        <v>2025</v>
      </c>
      <c r="O21" s="3">
        <f t="shared" si="97"/>
        <v>0.81736422000669817</v>
      </c>
      <c r="P21" s="3">
        <f t="shared" si="80"/>
        <v>0.74884489930304998</v>
      </c>
      <c r="Q21" s="3">
        <f t="shared" si="81"/>
        <v>0.72142723708600476</v>
      </c>
      <c r="R21" s="3">
        <f t="shared" si="82"/>
        <v>0.70158420075319861</v>
      </c>
      <c r="S21" s="3">
        <f t="shared" si="83"/>
        <v>0.68022623924354231</v>
      </c>
      <c r="U21">
        <f t="shared" si="84"/>
        <v>2025</v>
      </c>
      <c r="V21" s="86">
        <f t="shared" si="115"/>
        <v>32036.717154302059</v>
      </c>
      <c r="W21" s="86">
        <f t="shared" si="85"/>
        <v>29351.091770590378</v>
      </c>
      <c r="X21" s="86">
        <f t="shared" si="86"/>
        <v>28276.452254962354</v>
      </c>
      <c r="Y21" s="86">
        <f t="shared" si="87"/>
        <v>27498.701373633783</v>
      </c>
      <c r="Z21" s="86">
        <f t="shared" si="88"/>
        <v>26661.572765445231</v>
      </c>
      <c r="AB21" s="102">
        <f>'F-Gases'!C44</f>
        <v>687.94922858514951</v>
      </c>
      <c r="AC21" s="86">
        <f>'WAM Projections'!J9</f>
        <v>5258.7750812763861</v>
      </c>
      <c r="AE21">
        <f t="shared" si="98"/>
        <v>2025</v>
      </c>
      <c r="AF21" s="86">
        <f t="shared" si="119"/>
        <v>37983.441464163596</v>
      </c>
      <c r="AG21" s="86">
        <f t="shared" si="116"/>
        <v>33659.201203648903</v>
      </c>
      <c r="AH21" s="86">
        <f t="shared" si="99"/>
        <v>32556.433407540546</v>
      </c>
      <c r="AI21" s="86">
        <f t="shared" si="100"/>
        <v>31759.93033922508</v>
      </c>
      <c r="AJ21" s="86">
        <f t="shared" si="101"/>
        <v>30904.049544049634</v>
      </c>
      <c r="AL21" s="88">
        <f t="shared" si="102"/>
        <v>0.86221910033984006</v>
      </c>
      <c r="AM21" s="88">
        <f t="shared" si="103"/>
        <v>0.7640594180321697</v>
      </c>
      <c r="AN21" s="88">
        <f t="shared" si="104"/>
        <v>0.7390267348314814</v>
      </c>
      <c r="AO21" s="88">
        <f t="shared" si="105"/>
        <v>0.72094622046764145</v>
      </c>
      <c r="AP21" s="88">
        <f t="shared" si="106"/>
        <v>0.7015178395530115</v>
      </c>
      <c r="AQ21" s="86">
        <f t="shared" si="124"/>
        <v>2025</v>
      </c>
      <c r="AR21" s="102">
        <f t="shared" si="125"/>
        <v>687.94922858514951</v>
      </c>
      <c r="AS21" s="102">
        <f t="shared" si="125"/>
        <v>659.82094810480987</v>
      </c>
      <c r="AT21" s="102">
        <f t="shared" si="125"/>
        <v>641.06876111791667</v>
      </c>
      <c r="AU21" s="102">
        <f t="shared" si="125"/>
        <v>622.31657413102312</v>
      </c>
      <c r="AW21" s="86">
        <f t="shared" si="110"/>
        <v>3620.1602044733795</v>
      </c>
      <c r="AX21" s="86">
        <f t="shared" ref="AX21:AZ21" si="128">AW21</f>
        <v>3620.1602044733795</v>
      </c>
      <c r="AY21" s="86">
        <f t="shared" si="128"/>
        <v>3620.1602044733795</v>
      </c>
      <c r="AZ21" s="86">
        <f t="shared" si="128"/>
        <v>3620.1602044733795</v>
      </c>
      <c r="BB21" s="152">
        <f>'LULUCF Models'!N9</f>
        <v>3620.1602044733795</v>
      </c>
    </row>
    <row r="22" spans="2:54" x14ac:dyDescent="0.35">
      <c r="B22">
        <v>2026</v>
      </c>
      <c r="C22" s="86">
        <v>30554.000000000018</v>
      </c>
      <c r="D22" s="86">
        <v>27701.000000000007</v>
      </c>
      <c r="E22" s="86">
        <v>26193</v>
      </c>
      <c r="F22" s="86">
        <v>25118.999999999989</v>
      </c>
      <c r="G22" s="86">
        <v>23980.999999999996</v>
      </c>
      <c r="H22" s="86">
        <f t="shared" si="78"/>
        <v>2026</v>
      </c>
      <c r="I22" s="86">
        <f t="shared" si="113"/>
        <v>29741.427319292263</v>
      </c>
      <c r="J22" s="86">
        <f t="shared" si="114"/>
        <v>26964.301831894834</v>
      </c>
      <c r="K22" s="86">
        <f t="shared" si="93"/>
        <v>25496.406551489879</v>
      </c>
      <c r="L22" s="86">
        <f t="shared" si="94"/>
        <v>24450.969196612608</v>
      </c>
      <c r="M22" s="86">
        <f t="shared" si="95"/>
        <v>23343.233898800394</v>
      </c>
      <c r="N22">
        <f t="shared" si="96"/>
        <v>2026</v>
      </c>
      <c r="O22" s="3">
        <f t="shared" si="97"/>
        <v>0.75880366972790181</v>
      </c>
      <c r="P22" s="3">
        <f t="shared" si="80"/>
        <v>0.68794987416156972</v>
      </c>
      <c r="Q22" s="3">
        <f t="shared" si="81"/>
        <v>0.65049893700277939</v>
      </c>
      <c r="R22" s="3">
        <f t="shared" si="82"/>
        <v>0.62382631995467519</v>
      </c>
      <c r="S22" s="3">
        <f t="shared" si="83"/>
        <v>0.59556427321282968</v>
      </c>
      <c r="U22">
        <f t="shared" si="84"/>
        <v>2026</v>
      </c>
      <c r="V22" s="86">
        <f t="shared" si="115"/>
        <v>29741.427319292263</v>
      </c>
      <c r="W22" s="86">
        <f t="shared" si="85"/>
        <v>26964.301831894834</v>
      </c>
      <c r="X22" s="86">
        <f t="shared" si="86"/>
        <v>25496.406551489879</v>
      </c>
      <c r="Y22" s="86">
        <f t="shared" si="87"/>
        <v>24450.969196612608</v>
      </c>
      <c r="Z22" s="86">
        <f t="shared" si="88"/>
        <v>23343.233898800394</v>
      </c>
      <c r="AB22" s="102">
        <f>'F-Gases'!C45</f>
        <v>642.245099103896</v>
      </c>
      <c r="AC22" s="86">
        <f>'WAM Projections'!J10</f>
        <v>4463.8719944199802</v>
      </c>
      <c r="AE22">
        <f t="shared" si="98"/>
        <v>2026</v>
      </c>
      <c r="AF22" s="86">
        <f t="shared" si="119"/>
        <v>34847.54441281614</v>
      </c>
      <c r="AG22" s="86">
        <f t="shared" si="116"/>
        <v>30110.682791694599</v>
      </c>
      <c r="AH22" s="86">
        <f t="shared" si="99"/>
        <v>28609.033574713234</v>
      </c>
      <c r="AI22" s="86">
        <f t="shared" si="100"/>
        <v>27541.093595451694</v>
      </c>
      <c r="AJ22" s="86">
        <f t="shared" si="101"/>
        <v>26410.855673255206</v>
      </c>
      <c r="AL22" s="88">
        <f t="shared" si="102"/>
        <v>0.79103465179738364</v>
      </c>
      <c r="AM22" s="88">
        <f t="shared" si="103"/>
        <v>0.68350851914689481</v>
      </c>
      <c r="AN22" s="88">
        <f t="shared" si="104"/>
        <v>0.64942128041911229</v>
      </c>
      <c r="AO22" s="88">
        <f t="shared" si="105"/>
        <v>0.62517918405708095</v>
      </c>
      <c r="AP22" s="88">
        <f t="shared" si="106"/>
        <v>0.59952293262537082</v>
      </c>
      <c r="AQ22" s="86">
        <f t="shared" si="124"/>
        <v>2026</v>
      </c>
      <c r="AR22" s="102">
        <f t="shared" si="125"/>
        <v>642.245099103896</v>
      </c>
      <c r="AS22" s="102">
        <f t="shared" si="125"/>
        <v>608.49116252748843</v>
      </c>
      <c r="AT22" s="102">
        <f t="shared" si="125"/>
        <v>585.9885381432166</v>
      </c>
      <c r="AU22" s="102">
        <f t="shared" si="125"/>
        <v>563.48591375894432</v>
      </c>
      <c r="AW22" s="86">
        <f t="shared" si="110"/>
        <v>2504.1358606958661</v>
      </c>
      <c r="AX22" s="86">
        <f t="shared" ref="AX22:AZ22" si="129">AW22</f>
        <v>2504.1358606958661</v>
      </c>
      <c r="AY22" s="86">
        <f t="shared" si="129"/>
        <v>2504.1358606958661</v>
      </c>
      <c r="AZ22" s="86">
        <f t="shared" si="129"/>
        <v>2504.1358606958661</v>
      </c>
      <c r="BB22" s="152">
        <f>'LULUCF Models'!N10</f>
        <v>2504.1358606958661</v>
      </c>
    </row>
    <row r="23" spans="2:54" x14ac:dyDescent="0.35">
      <c r="B23">
        <v>2027</v>
      </c>
      <c r="C23" s="86">
        <v>29947.999999999982</v>
      </c>
      <c r="D23" s="86">
        <v>25447.999999999989</v>
      </c>
      <c r="E23" s="86">
        <v>23618.000000000022</v>
      </c>
      <c r="F23" s="86">
        <v>22335.999999999967</v>
      </c>
      <c r="G23" s="86">
        <v>20996.999999999956</v>
      </c>
      <c r="H23" s="86">
        <f t="shared" si="78"/>
        <v>2027</v>
      </c>
      <c r="I23" s="86">
        <f t="shared" si="113"/>
        <v>29151.543672126845</v>
      </c>
      <c r="J23" s="86">
        <f t="shared" si="114"/>
        <v>24771.219559512625</v>
      </c>
      <c r="K23" s="86">
        <f t="shared" si="93"/>
        <v>22989.887753716204</v>
      </c>
      <c r="L23" s="86">
        <f t="shared" si="94"/>
        <v>21741.982084300274</v>
      </c>
      <c r="M23" s="86">
        <f t="shared" si="95"/>
        <v>20438.592309457945</v>
      </c>
      <c r="N23">
        <f t="shared" si="96"/>
        <v>2027</v>
      </c>
      <c r="O23" s="3">
        <f t="shared" si="97"/>
        <v>0.74375375731528359</v>
      </c>
      <c r="P23" s="3">
        <f t="shared" si="80"/>
        <v>0.6319969819740664</v>
      </c>
      <c r="Q23" s="3">
        <f t="shared" si="81"/>
        <v>0.58654922666863885</v>
      </c>
      <c r="R23" s="3">
        <f t="shared" si="82"/>
        <v>0.55471096311587287</v>
      </c>
      <c r="S23" s="3">
        <f t="shared" si="83"/>
        <v>0.52145711374211923</v>
      </c>
      <c r="U23">
        <f t="shared" si="84"/>
        <v>2027</v>
      </c>
      <c r="V23" s="86">
        <f t="shared" si="115"/>
        <v>29151.543672126845</v>
      </c>
      <c r="W23" s="86">
        <f t="shared" si="85"/>
        <v>24771.219559512625</v>
      </c>
      <c r="X23" s="86">
        <f t="shared" si="86"/>
        <v>22989.887753716204</v>
      </c>
      <c r="Y23" s="86">
        <f t="shared" si="87"/>
        <v>21741.982084300274</v>
      </c>
      <c r="Z23" s="86">
        <f t="shared" si="88"/>
        <v>20438.592309457945</v>
      </c>
      <c r="AB23" s="102">
        <f>'F-Gases'!C46</f>
        <v>596.54096962264248</v>
      </c>
      <c r="AC23" s="86">
        <f>'WAM Projections'!J11</f>
        <v>4936.2189904964498</v>
      </c>
      <c r="AE23">
        <f t="shared" si="98"/>
        <v>2027</v>
      </c>
      <c r="AF23" s="86">
        <f>V23+$AB23+$AC23</f>
        <v>34684.303632245937</v>
      </c>
      <c r="AG23" s="86">
        <f t="shared" si="116"/>
        <v>27785.173761385482</v>
      </c>
      <c r="AH23" s="86">
        <f t="shared" si="99"/>
        <v>25964.462362916587</v>
      </c>
      <c r="AI23" s="86">
        <f t="shared" si="100"/>
        <v>24690.303631719005</v>
      </c>
      <c r="AJ23" s="86">
        <f t="shared" si="101"/>
        <v>23360.660795095027</v>
      </c>
      <c r="AL23" s="88">
        <f t="shared" si="102"/>
        <v>0.78732910765666098</v>
      </c>
      <c r="AM23" s="88">
        <f t="shared" si="103"/>
        <v>0.63071977155968473</v>
      </c>
      <c r="AN23" s="88">
        <f t="shared" si="104"/>
        <v>0.58938986348783562</v>
      </c>
      <c r="AO23" s="88">
        <f t="shared" si="105"/>
        <v>0.56046662871618302</v>
      </c>
      <c r="AP23" s="88">
        <f t="shared" si="106"/>
        <v>0.53028391208559855</v>
      </c>
      <c r="AQ23" s="86">
        <f t="shared" si="124"/>
        <v>2027</v>
      </c>
      <c r="AR23" s="102">
        <f t="shared" si="125"/>
        <v>596.54096962264248</v>
      </c>
      <c r="AS23" s="102">
        <f t="shared" si="125"/>
        <v>557.16137695016698</v>
      </c>
      <c r="AT23" s="102">
        <f t="shared" si="125"/>
        <v>530.90831516851654</v>
      </c>
      <c r="AU23" s="102">
        <f t="shared" si="125"/>
        <v>504.65525338686558</v>
      </c>
      <c r="AW23" s="86">
        <f t="shared" si="110"/>
        <v>2417.4132322502142</v>
      </c>
      <c r="AX23" s="86">
        <f t="shared" ref="AX23:AZ23" si="130">AW23</f>
        <v>2417.4132322502142</v>
      </c>
      <c r="AY23" s="86">
        <f t="shared" si="130"/>
        <v>2417.4132322502142</v>
      </c>
      <c r="AZ23" s="86">
        <f t="shared" si="130"/>
        <v>2417.4132322502142</v>
      </c>
      <c r="BB23" s="152">
        <f>'LULUCF Models'!N11</f>
        <v>2417.4132322502142</v>
      </c>
    </row>
    <row r="24" spans="2:54" x14ac:dyDescent="0.35">
      <c r="B24">
        <v>2028</v>
      </c>
      <c r="C24" s="86">
        <v>28504.999999999985</v>
      </c>
      <c r="D24" s="86">
        <v>23378.000000000058</v>
      </c>
      <c r="E24" s="86">
        <v>21295.99999999996</v>
      </c>
      <c r="F24" s="86">
        <v>19861.000000000007</v>
      </c>
      <c r="G24" s="86">
        <v>18384</v>
      </c>
      <c r="H24" s="86">
        <f t="shared" si="78"/>
        <v>2028</v>
      </c>
      <c r="I24" s="86">
        <f t="shared" si="113"/>
        <v>27746.919740015219</v>
      </c>
      <c r="J24" s="86">
        <f t="shared" si="114"/>
        <v>22756.270467710146</v>
      </c>
      <c r="K24" s="86">
        <f t="shared" si="93"/>
        <v>20729.640511607202</v>
      </c>
      <c r="L24" s="86">
        <f t="shared" si="94"/>
        <v>19332.80382236249</v>
      </c>
      <c r="M24" s="86">
        <f t="shared" si="95"/>
        <v>17895.084108066658</v>
      </c>
      <c r="N24">
        <f t="shared" si="96"/>
        <v>2028</v>
      </c>
      <c r="O24" s="3">
        <f t="shared" si="97"/>
        <v>0.7079170846892</v>
      </c>
      <c r="P24" s="3">
        <f t="shared" si="80"/>
        <v>0.58058886531710818</v>
      </c>
      <c r="Q24" s="3">
        <f t="shared" si="81"/>
        <v>0.52888273059256907</v>
      </c>
      <c r="R24" s="3">
        <f t="shared" si="82"/>
        <v>0.49324473667820429</v>
      </c>
      <c r="S24" s="3">
        <f t="shared" si="83"/>
        <v>0.45656367952732008</v>
      </c>
      <c r="U24">
        <f t="shared" si="84"/>
        <v>2028</v>
      </c>
      <c r="V24" s="86">
        <f t="shared" si="115"/>
        <v>27746.919740015219</v>
      </c>
      <c r="W24" s="86">
        <f t="shared" si="85"/>
        <v>22756.270467710146</v>
      </c>
      <c r="X24" s="86">
        <f t="shared" si="86"/>
        <v>20729.640511607202</v>
      </c>
      <c r="Y24" s="86">
        <f t="shared" si="87"/>
        <v>19332.80382236249</v>
      </c>
      <c r="Z24" s="86">
        <f t="shared" si="88"/>
        <v>17895.084108066658</v>
      </c>
      <c r="AB24" s="102">
        <f>'F-Gases'!C47</f>
        <v>550.83684014138896</v>
      </c>
      <c r="AC24" s="86">
        <f>'WAM Projections'!J12</f>
        <v>5029.1014682996702</v>
      </c>
      <c r="AE24">
        <f t="shared" si="98"/>
        <v>2028</v>
      </c>
      <c r="AF24" s="86">
        <f t="shared" si="119"/>
        <v>33326.858048456277</v>
      </c>
      <c r="AG24" s="86">
        <f t="shared" si="116"/>
        <v>25304.09015934218</v>
      </c>
      <c r="AH24" s="86">
        <f t="shared" si="99"/>
        <v>23232.45495447069</v>
      </c>
      <c r="AI24" s="86">
        <f t="shared" si="100"/>
        <v>21805.614766046951</v>
      </c>
      <c r="AJ24" s="86">
        <f t="shared" si="101"/>
        <v>20337.891552572088</v>
      </c>
      <c r="AL24" s="88">
        <f t="shared" si="102"/>
        <v>0.75651527234056237</v>
      </c>
      <c r="AM24" s="88">
        <f t="shared" si="103"/>
        <v>0.5743995017589606</v>
      </c>
      <c r="AN24" s="88">
        <f t="shared" si="104"/>
        <v>0.52737365645050238</v>
      </c>
      <c r="AO24" s="88">
        <f t="shared" si="105"/>
        <v>0.49498457278223729</v>
      </c>
      <c r="AP24" s="88">
        <f t="shared" si="106"/>
        <v>0.46166744984949404</v>
      </c>
      <c r="AQ24" s="86">
        <f t="shared" si="124"/>
        <v>2028</v>
      </c>
      <c r="AR24" s="102">
        <f t="shared" si="125"/>
        <v>550.83684014138896</v>
      </c>
      <c r="AS24" s="102">
        <f t="shared" si="125"/>
        <v>505.83159137284548</v>
      </c>
      <c r="AT24" s="102">
        <f t="shared" si="125"/>
        <v>475.82809219381642</v>
      </c>
      <c r="AU24" s="102">
        <f t="shared" si="125"/>
        <v>445.82459301478684</v>
      </c>
      <c r="AW24" s="86">
        <f t="shared" si="110"/>
        <v>1996.9828514906451</v>
      </c>
      <c r="AX24" s="86">
        <f t="shared" ref="AX24:AZ24" si="131">AW24</f>
        <v>1996.9828514906451</v>
      </c>
      <c r="AY24" s="86">
        <f t="shared" si="131"/>
        <v>1996.9828514906451</v>
      </c>
      <c r="AZ24" s="86">
        <f t="shared" si="131"/>
        <v>1996.9828514906451</v>
      </c>
      <c r="BB24" s="152">
        <f>'LULUCF Models'!N12</f>
        <v>1996.9828514906451</v>
      </c>
    </row>
    <row r="25" spans="2:54" x14ac:dyDescent="0.35">
      <c r="B25">
        <v>2029</v>
      </c>
      <c r="C25" s="86">
        <v>27698.999999999993</v>
      </c>
      <c r="D25" s="86">
        <v>21477.000000000015</v>
      </c>
      <c r="E25" s="86">
        <v>19202</v>
      </c>
      <c r="F25" s="86">
        <v>17661</v>
      </c>
      <c r="G25" s="86">
        <v>16095.999999999993</v>
      </c>
      <c r="H25" s="86">
        <f t="shared" si="78"/>
        <v>2029</v>
      </c>
      <c r="I25" s="86">
        <f t="shared" si="113"/>
        <v>26962.3550211781</v>
      </c>
      <c r="J25" s="86">
        <f t="shared" si="114"/>
        <v>20905.826881470184</v>
      </c>
      <c r="K25" s="86">
        <f t="shared" si="93"/>
        <v>18691.32969120409</v>
      </c>
      <c r="L25" s="86">
        <f t="shared" si="94"/>
        <v>17191.312033973303</v>
      </c>
      <c r="M25" s="86">
        <f t="shared" si="95"/>
        <v>15667.932648141905</v>
      </c>
      <c r="N25">
        <f t="shared" si="96"/>
        <v>2029</v>
      </c>
      <c r="O25" s="3">
        <f t="shared" si="97"/>
        <v>0.68790020448363987</v>
      </c>
      <c r="P25" s="3">
        <f t="shared" si="80"/>
        <v>0.53337783644518388</v>
      </c>
      <c r="Q25" s="3">
        <f t="shared" si="81"/>
        <v>0.47687857780045695</v>
      </c>
      <c r="R25" s="3">
        <f t="shared" si="82"/>
        <v>0.4386080909558312</v>
      </c>
      <c r="S25" s="3">
        <f t="shared" si="83"/>
        <v>0.39974156797605204</v>
      </c>
      <c r="U25">
        <f t="shared" si="84"/>
        <v>2029</v>
      </c>
      <c r="V25" s="86">
        <f t="shared" si="115"/>
        <v>26962.3550211781</v>
      </c>
      <c r="W25" s="86">
        <f t="shared" si="85"/>
        <v>20905.826881470184</v>
      </c>
      <c r="X25" s="86">
        <f t="shared" si="86"/>
        <v>18691.32969120409</v>
      </c>
      <c r="Y25" s="86">
        <f t="shared" si="87"/>
        <v>17191.312033973303</v>
      </c>
      <c r="Z25" s="86">
        <f t="shared" si="88"/>
        <v>15667.932648141905</v>
      </c>
      <c r="AB25" s="102">
        <f>'F-Gases'!C48</f>
        <v>505.13271066013539</v>
      </c>
      <c r="AC25" s="86">
        <f>'WAM Projections'!J13</f>
        <v>5348.5802893760938</v>
      </c>
      <c r="AE25">
        <f t="shared" si="98"/>
        <v>2029</v>
      </c>
      <c r="AF25" s="86">
        <f t="shared" si="119"/>
        <v>32816.068021214327</v>
      </c>
      <c r="AG25" s="86">
        <f t="shared" si="116"/>
        <v>23167.906115897902</v>
      </c>
      <c r="AH25" s="86">
        <f t="shared" si="99"/>
        <v>20902.778020767197</v>
      </c>
      <c r="AI25" s="86">
        <f t="shared" si="100"/>
        <v>19369.006426960004</v>
      </c>
      <c r="AJ25" s="86">
        <f t="shared" si="101"/>
        <v>17811.873104552196</v>
      </c>
      <c r="AL25" s="88">
        <f t="shared" si="102"/>
        <v>0.74492040624169564</v>
      </c>
      <c r="AM25" s="88">
        <f t="shared" si="103"/>
        <v>0.52590840634738256</v>
      </c>
      <c r="AN25" s="88">
        <f t="shared" si="104"/>
        <v>0.47449029800718034</v>
      </c>
      <c r="AO25" s="88">
        <f t="shared" si="105"/>
        <v>0.43967388557159487</v>
      </c>
      <c r="AP25" s="88">
        <f t="shared" si="106"/>
        <v>0.40432716498487958</v>
      </c>
      <c r="AQ25" s="86">
        <f t="shared" si="124"/>
        <v>2029</v>
      </c>
      <c r="AR25" s="102">
        <f t="shared" si="125"/>
        <v>505.13271066013539</v>
      </c>
      <c r="AS25" s="102">
        <f t="shared" si="125"/>
        <v>454.50180579552398</v>
      </c>
      <c r="AT25" s="102">
        <f t="shared" si="125"/>
        <v>420.7478692191163</v>
      </c>
      <c r="AU25" s="102">
        <f t="shared" si="125"/>
        <v>386.9939326427081</v>
      </c>
      <c r="AW25" s="86">
        <f t="shared" si="110"/>
        <v>1756.9465237675843</v>
      </c>
      <c r="AX25" s="86">
        <f t="shared" ref="AX25:AZ25" si="132">AW25</f>
        <v>1756.9465237675843</v>
      </c>
      <c r="AY25" s="86">
        <f t="shared" si="132"/>
        <v>1756.9465237675843</v>
      </c>
      <c r="AZ25" s="86">
        <f t="shared" si="132"/>
        <v>1756.9465237675843</v>
      </c>
      <c r="BB25" s="152">
        <f>'LULUCF Models'!N13</f>
        <v>1756.9465237675843</v>
      </c>
    </row>
    <row r="26" spans="2:54" x14ac:dyDescent="0.35">
      <c r="B26">
        <v>2030</v>
      </c>
      <c r="C26" s="86">
        <v>27045.999999999993</v>
      </c>
      <c r="D26" s="86">
        <v>19729.999999999971</v>
      </c>
      <c r="E26" s="86">
        <v>17314</v>
      </c>
      <c r="F26" s="86">
        <v>15704.000000000002</v>
      </c>
      <c r="G26" s="86">
        <v>14093</v>
      </c>
      <c r="H26" s="86">
        <f t="shared" si="78"/>
        <v>2030</v>
      </c>
      <c r="I26" s="86">
        <f t="shared" si="113"/>
        <v>26326.721322169858</v>
      </c>
      <c r="J26" s="86">
        <f t="shared" si="114"/>
        <v>19205.287720417462</v>
      </c>
      <c r="K26" s="86">
        <f t="shared" si="93"/>
        <v>16853.540374622829</v>
      </c>
      <c r="L26" s="86">
        <f t="shared" si="94"/>
        <v>15286.357747665297</v>
      </c>
      <c r="M26" s="86">
        <f t="shared" si="95"/>
        <v>13718.201715349402</v>
      </c>
      <c r="N26">
        <f t="shared" si="96"/>
        <v>2030</v>
      </c>
      <c r="O26" s="3">
        <f t="shared" si="97"/>
        <v>0.67168305463968103</v>
      </c>
      <c r="P26" s="3">
        <f t="shared" si="80"/>
        <v>0.48999137277382571</v>
      </c>
      <c r="Q26" s="3">
        <f t="shared" si="81"/>
        <v>0.42999040183507509</v>
      </c>
      <c r="R26" s="3">
        <f t="shared" si="82"/>
        <v>0.390006311101884</v>
      </c>
      <c r="S26" s="3">
        <f t="shared" si="83"/>
        <v>0.34999738552972814</v>
      </c>
      <c r="U26">
        <f t="shared" si="84"/>
        <v>2030</v>
      </c>
      <c r="V26" s="86">
        <f t="shared" si="115"/>
        <v>26326.721322169858</v>
      </c>
      <c r="W26" s="86">
        <f t="shared" si="85"/>
        <v>19205.287720417462</v>
      </c>
      <c r="X26" s="86">
        <f t="shared" si="86"/>
        <v>16853.540374622829</v>
      </c>
      <c r="Y26" s="86">
        <f t="shared" si="87"/>
        <v>15286.357747665297</v>
      </c>
      <c r="Z26" s="86">
        <f t="shared" si="88"/>
        <v>13718.201715349402</v>
      </c>
      <c r="AB26" s="102">
        <f>'F-Gases'!C49</f>
        <v>459.42858117888181</v>
      </c>
      <c r="AC26" s="86">
        <f>'WAM Projections'!J14</f>
        <v>6184.3028682635031</v>
      </c>
      <c r="AE26">
        <f t="shared" si="98"/>
        <v>2030</v>
      </c>
      <c r="AF26" s="86">
        <f t="shared" si="119"/>
        <v>32970.452771612247</v>
      </c>
      <c r="AG26" s="86">
        <f t="shared" si="116"/>
        <v>21599.015142380824</v>
      </c>
      <c r="AH26" s="86">
        <f t="shared" si="99"/>
        <v>19191.011235625512</v>
      </c>
      <c r="AI26" s="86">
        <f t="shared" si="100"/>
        <v>17586.324234694192</v>
      </c>
      <c r="AJ26" s="86">
        <f t="shared" si="101"/>
        <v>15980.663828404511</v>
      </c>
      <c r="AL26" s="88">
        <f>AF26/AF$14</f>
        <v>0.74842491966815483</v>
      </c>
      <c r="AM26" s="88">
        <f t="shared" si="103"/>
        <v>0.49029478863468912</v>
      </c>
      <c r="AN26" s="88">
        <f t="shared" si="104"/>
        <v>0.43563341825685614</v>
      </c>
      <c r="AO26" s="88">
        <f t="shared" si="105"/>
        <v>0.39920723545360959</v>
      </c>
      <c r="AP26" s="88">
        <f t="shared" si="106"/>
        <v>0.3627589564773992</v>
      </c>
      <c r="AQ26" s="86">
        <f t="shared" si="124"/>
        <v>2030</v>
      </c>
      <c r="AR26" s="102">
        <f>AR25-AR$8</f>
        <v>459.42858117888181</v>
      </c>
      <c r="AS26" s="102">
        <f t="shared" ref="AS26:AU26" si="133">AS25-AS$8</f>
        <v>403.17202021820248</v>
      </c>
      <c r="AT26" s="102">
        <f t="shared" si="133"/>
        <v>365.66764624441618</v>
      </c>
      <c r="AU26" s="102">
        <f t="shared" si="133"/>
        <v>328.16327227062936</v>
      </c>
      <c r="AW26" s="86">
        <f t="shared" si="110"/>
        <v>1934.2988407844803</v>
      </c>
      <c r="AX26" s="86">
        <f t="shared" ref="AX26:AZ26" si="134">AW26</f>
        <v>1934.2988407844803</v>
      </c>
      <c r="AY26" s="86">
        <f t="shared" si="134"/>
        <v>1934.2988407844803</v>
      </c>
      <c r="AZ26" s="86">
        <f t="shared" si="134"/>
        <v>1934.2988407844803</v>
      </c>
      <c r="BB26" s="152">
        <f>'LULUCF Models'!N14</f>
        <v>1934.2988407844803</v>
      </c>
    </row>
    <row r="27" spans="2:54" x14ac:dyDescent="0.35">
      <c r="B27">
        <v>2031</v>
      </c>
      <c r="C27" s="86">
        <v>27046</v>
      </c>
      <c r="D27" s="86">
        <v>18743.499999999971</v>
      </c>
      <c r="E27" s="86">
        <v>16448.299999999996</v>
      </c>
      <c r="F27" s="86">
        <v>14918.80000000001</v>
      </c>
      <c r="G27" s="86">
        <v>13388.350000000004</v>
      </c>
      <c r="H27" s="86">
        <f t="shared" si="78"/>
        <v>2031</v>
      </c>
      <c r="I27" s="86">
        <f t="shared" si="113"/>
        <v>26326.721322169866</v>
      </c>
      <c r="J27" s="86">
        <f t="shared" si="114"/>
        <v>18245.023334396588</v>
      </c>
      <c r="K27" s="86">
        <f t="shared" si="93"/>
        <v>16010.863355891684</v>
      </c>
      <c r="L27" s="86">
        <f t="shared" si="94"/>
        <v>14522.039860282041</v>
      </c>
      <c r="M27" s="86">
        <f t="shared" si="95"/>
        <v>13032.291629581936</v>
      </c>
      <c r="N27">
        <f t="shared" si="96"/>
        <v>2031</v>
      </c>
      <c r="O27" s="3">
        <f t="shared" si="97"/>
        <v>0.67168305463968125</v>
      </c>
      <c r="P27" s="3">
        <f t="shared" si="80"/>
        <v>0.46549180413513441</v>
      </c>
      <c r="Q27" s="3">
        <f t="shared" si="81"/>
        <v>0.40849088174332121</v>
      </c>
      <c r="R27" s="3">
        <f t="shared" si="82"/>
        <v>0.37050599554679003</v>
      </c>
      <c r="S27" s="3">
        <f t="shared" si="83"/>
        <v>0.33249751625324181</v>
      </c>
      <c r="U27">
        <f t="shared" si="84"/>
        <v>2031</v>
      </c>
      <c r="V27" s="86">
        <f t="shared" si="115"/>
        <v>26326.721322169866</v>
      </c>
      <c r="W27" s="86">
        <f t="shared" si="85"/>
        <v>18245.023334396588</v>
      </c>
      <c r="X27" s="86">
        <f t="shared" si="86"/>
        <v>16010.863355891684</v>
      </c>
      <c r="Y27" s="86">
        <f t="shared" si="87"/>
        <v>14522.039860282041</v>
      </c>
      <c r="Z27" s="86">
        <f t="shared" si="88"/>
        <v>13032.291629581936</v>
      </c>
      <c r="AB27" s="102">
        <f>'F-Gases'!C50</f>
        <v>436.45715211993775</v>
      </c>
      <c r="AC27" s="86">
        <f>'WAM Projections'!J15</f>
        <v>6647.4672840893127</v>
      </c>
      <c r="AE27">
        <f t="shared" si="98"/>
        <v>2031</v>
      </c>
      <c r="AF27" s="86">
        <f t="shared" si="119"/>
        <v>33410.645758379113</v>
      </c>
      <c r="AG27" s="86">
        <f t="shared" si="116"/>
        <v>20519.064385261783</v>
      </c>
      <c r="AH27" s="86">
        <f t="shared" si="99"/>
        <v>18231.460673844231</v>
      </c>
      <c r="AI27" s="86">
        <f t="shared" si="100"/>
        <v>16707.008022959493</v>
      </c>
      <c r="AJ27" s="86">
        <f t="shared" si="101"/>
        <v>15181.63063698429</v>
      </c>
      <c r="AL27" s="88">
        <f t="shared" si="102"/>
        <v>0.7584172422802099</v>
      </c>
      <c r="AM27" s="88">
        <f t="shared" si="103"/>
        <v>0.46578004920295468</v>
      </c>
      <c r="AN27" s="88">
        <f t="shared" si="104"/>
        <v>0.4138517473440132</v>
      </c>
      <c r="AO27" s="88">
        <f t="shared" si="105"/>
        <v>0.37924687368092935</v>
      </c>
      <c r="AP27" s="88">
        <f t="shared" si="106"/>
        <v>0.34462100865352935</v>
      </c>
      <c r="AQ27" s="86">
        <f t="shared" si="124"/>
        <v>2031</v>
      </c>
      <c r="AR27" s="102">
        <f>AR26-AR$7</f>
        <v>436.45715211993775</v>
      </c>
      <c r="AS27" s="102">
        <f t="shared" ref="AS27:AU28" si="135">AS26-AS$7</f>
        <v>383.01341920729237</v>
      </c>
      <c r="AT27" s="102">
        <f t="shared" si="135"/>
        <v>347.38426393219538</v>
      </c>
      <c r="AU27" s="102">
        <f t="shared" si="135"/>
        <v>311.75510865709788</v>
      </c>
      <c r="AW27" s="86">
        <f t="shared" si="110"/>
        <v>1837.5838987452562</v>
      </c>
      <c r="AX27" s="86">
        <f t="shared" ref="AX27:AZ27" si="136">AW27</f>
        <v>1837.5838987452562</v>
      </c>
      <c r="AY27" s="86">
        <f t="shared" si="136"/>
        <v>1837.5838987452562</v>
      </c>
      <c r="AZ27" s="86">
        <f t="shared" si="136"/>
        <v>1837.5838987452562</v>
      </c>
      <c r="BB27" s="152">
        <f>BB26-BB$10</f>
        <v>1837.5838987452562</v>
      </c>
    </row>
    <row r="28" spans="2:54" x14ac:dyDescent="0.35">
      <c r="B28">
        <v>2032</v>
      </c>
      <c r="C28" s="86">
        <v>27046.000000000033</v>
      </c>
      <c r="D28" s="86">
        <v>17757.000000000051</v>
      </c>
      <c r="E28" s="86">
        <v>15582.599999999995</v>
      </c>
      <c r="F28" s="86">
        <v>14133.599999999999</v>
      </c>
      <c r="G28" s="86">
        <v>12683.700000000008</v>
      </c>
      <c r="H28" s="86">
        <f t="shared" si="78"/>
        <v>2032</v>
      </c>
      <c r="I28" s="86">
        <f t="shared" si="113"/>
        <v>26326.721322169898</v>
      </c>
      <c r="J28" s="86">
        <f t="shared" si="114"/>
        <v>17284.758948375791</v>
      </c>
      <c r="K28" s="86">
        <f t="shared" si="93"/>
        <v>15168.186337160541</v>
      </c>
      <c r="L28" s="86">
        <f t="shared" si="94"/>
        <v>13757.721972898764</v>
      </c>
      <c r="M28" s="86">
        <f t="shared" si="95"/>
        <v>12346.38154381447</v>
      </c>
      <c r="N28">
        <f t="shared" si="96"/>
        <v>2032</v>
      </c>
      <c r="O28" s="3">
        <f t="shared" si="97"/>
        <v>0.67168305463968203</v>
      </c>
      <c r="P28" s="3">
        <f t="shared" si="80"/>
        <v>0.44099223549644506</v>
      </c>
      <c r="Q28" s="3">
        <f t="shared" si="81"/>
        <v>0.38699136165156744</v>
      </c>
      <c r="R28" s="3">
        <f t="shared" si="82"/>
        <v>0.35100567999169552</v>
      </c>
      <c r="S28" s="3">
        <f t="shared" si="83"/>
        <v>0.31499764697675553</v>
      </c>
      <c r="U28">
        <f t="shared" si="84"/>
        <v>2032</v>
      </c>
      <c r="V28" s="86">
        <f t="shared" si="115"/>
        <v>26326.721322169898</v>
      </c>
      <c r="W28" s="86">
        <f t="shared" si="85"/>
        <v>17284.758948375791</v>
      </c>
      <c r="X28" s="86">
        <f t="shared" si="86"/>
        <v>15168.186337160541</v>
      </c>
      <c r="Y28" s="86">
        <f t="shared" si="87"/>
        <v>13757.721972898764</v>
      </c>
      <c r="Z28" s="86">
        <f t="shared" si="88"/>
        <v>12346.38154381447</v>
      </c>
      <c r="AB28" s="102">
        <f>'F-Gases'!C51</f>
        <v>413.48572306099368</v>
      </c>
      <c r="AC28" s="86">
        <f>'WAM Projections'!J16</f>
        <v>7142.85581236283</v>
      </c>
      <c r="AE28">
        <f t="shared" si="98"/>
        <v>2032</v>
      </c>
      <c r="AF28" s="86">
        <f t="shared" si="119"/>
        <v>33883.062857593723</v>
      </c>
      <c r="AG28" s="86">
        <f t="shared" si="116"/>
        <v>19439.113628142815</v>
      </c>
      <c r="AH28" s="86">
        <f t="shared" si="99"/>
        <v>17271.910112062957</v>
      </c>
      <c r="AI28" s="86">
        <f t="shared" si="100"/>
        <v>15827.691811224769</v>
      </c>
      <c r="AJ28" s="86">
        <f t="shared" si="101"/>
        <v>14382.597445564068</v>
      </c>
      <c r="AL28" s="88">
        <f t="shared" si="102"/>
        <v>0.76914104798523752</v>
      </c>
      <c r="AM28" s="88">
        <f t="shared" si="103"/>
        <v>0.44126530977122191</v>
      </c>
      <c r="AN28" s="88">
        <f t="shared" si="104"/>
        <v>0.39207007643117042</v>
      </c>
      <c r="AO28" s="88">
        <f t="shared" si="105"/>
        <v>0.35928651190824856</v>
      </c>
      <c r="AP28" s="88">
        <f t="shared" si="106"/>
        <v>0.3264830608296595</v>
      </c>
      <c r="AQ28" s="86">
        <f t="shared" si="124"/>
        <v>2032</v>
      </c>
      <c r="AR28" s="102">
        <f>AR27-AR$7</f>
        <v>413.48572306099368</v>
      </c>
      <c r="AS28" s="102">
        <f t="shared" si="135"/>
        <v>362.85481819638227</v>
      </c>
      <c r="AT28" s="102">
        <f t="shared" si="135"/>
        <v>329.10088161997459</v>
      </c>
      <c r="AU28" s="102">
        <f t="shared" si="135"/>
        <v>295.34694504356639</v>
      </c>
      <c r="AW28" s="86">
        <f t="shared" si="110"/>
        <v>1740.8689567060321</v>
      </c>
      <c r="AX28" s="86">
        <f t="shared" ref="AX28:AZ28" si="137">AW28</f>
        <v>1740.8689567060321</v>
      </c>
      <c r="AY28" s="86">
        <f t="shared" si="137"/>
        <v>1740.8689567060321</v>
      </c>
      <c r="AZ28" s="86">
        <f t="shared" si="137"/>
        <v>1740.8689567060321</v>
      </c>
      <c r="BB28" s="152">
        <f t="shared" ref="BB28:BB46" si="138">BB27-BB$10</f>
        <v>1740.8689567060321</v>
      </c>
    </row>
    <row r="29" spans="2:54" x14ac:dyDescent="0.35">
      <c r="B29">
        <v>2033</v>
      </c>
      <c r="C29" s="86">
        <v>27046.000000000004</v>
      </c>
      <c r="D29" s="86">
        <v>16770.499999999996</v>
      </c>
      <c r="E29" s="86">
        <v>14716.900000000005</v>
      </c>
      <c r="F29" s="86">
        <v>13348.400000000007</v>
      </c>
      <c r="G29" s="86">
        <v>11979.050000000001</v>
      </c>
      <c r="H29" s="86">
        <f t="shared" si="78"/>
        <v>2033</v>
      </c>
      <c r="I29" s="86">
        <f t="shared" si="113"/>
        <v>26326.721322169869</v>
      </c>
      <c r="J29" s="86">
        <f t="shared" si="114"/>
        <v>16324.494562354863</v>
      </c>
      <c r="K29" s="86">
        <f t="shared" si="93"/>
        <v>14325.509318429411</v>
      </c>
      <c r="L29" s="86">
        <f t="shared" si="94"/>
        <v>12993.404085515507</v>
      </c>
      <c r="M29" s="86">
        <f t="shared" si="95"/>
        <v>11660.471458046992</v>
      </c>
      <c r="N29">
        <f t="shared" si="96"/>
        <v>2033</v>
      </c>
      <c r="O29" s="3">
        <f t="shared" si="97"/>
        <v>0.67168305463968125</v>
      </c>
      <c r="P29" s="3">
        <f t="shared" si="80"/>
        <v>0.41649266685775238</v>
      </c>
      <c r="Q29" s="3">
        <f t="shared" si="81"/>
        <v>0.36549184155981396</v>
      </c>
      <c r="R29" s="3">
        <f t="shared" si="82"/>
        <v>0.33150536443660156</v>
      </c>
      <c r="S29" s="3">
        <f t="shared" si="83"/>
        <v>0.29749777770026897</v>
      </c>
      <c r="U29">
        <f t="shared" si="84"/>
        <v>2033</v>
      </c>
      <c r="V29" s="86">
        <f t="shared" si="115"/>
        <v>26326.721322169869</v>
      </c>
      <c r="W29" s="86">
        <f t="shared" si="85"/>
        <v>16324.494562354863</v>
      </c>
      <c r="X29" s="86">
        <f t="shared" si="86"/>
        <v>14325.509318429411</v>
      </c>
      <c r="Y29" s="86">
        <f t="shared" si="87"/>
        <v>12993.404085515507</v>
      </c>
      <c r="Z29" s="86">
        <f t="shared" si="88"/>
        <v>11660.471458046992</v>
      </c>
      <c r="AB29" s="102">
        <f>'F-Gases'!C52</f>
        <v>390.51429400204961</v>
      </c>
      <c r="AC29" s="86">
        <f>'WAM Projections'!J17</f>
        <v>7061.829653521404</v>
      </c>
      <c r="AE29">
        <f t="shared" si="98"/>
        <v>2033</v>
      </c>
      <c r="AF29" s="86">
        <f t="shared" si="119"/>
        <v>33779.065269693325</v>
      </c>
      <c r="AG29" s="86">
        <f t="shared" si="116"/>
        <v>18359.16287102372</v>
      </c>
      <c r="AH29" s="86">
        <f t="shared" si="99"/>
        <v>16312.359550281692</v>
      </c>
      <c r="AI29" s="86">
        <f t="shared" si="100"/>
        <v>14948.375599490069</v>
      </c>
      <c r="AJ29" s="86">
        <f t="shared" si="101"/>
        <v>13583.564254143836</v>
      </c>
      <c r="AL29" s="88">
        <f t="shared" si="102"/>
        <v>0.76678031648697142</v>
      </c>
      <c r="AM29" s="88">
        <f t="shared" si="103"/>
        <v>0.4167505703394862</v>
      </c>
      <c r="AN29" s="88">
        <f t="shared" si="104"/>
        <v>0.37028840551832787</v>
      </c>
      <c r="AO29" s="88">
        <f t="shared" si="105"/>
        <v>0.33932615013556827</v>
      </c>
      <c r="AP29" s="88">
        <f t="shared" si="106"/>
        <v>0.30834511300578937</v>
      </c>
      <c r="AQ29" s="86">
        <f t="shared" ref="AQ29:AQ46" si="139">AE29</f>
        <v>2033</v>
      </c>
      <c r="AR29" s="102">
        <f t="shared" ref="AR29:AU46" si="140">AR28-AR$7</f>
        <v>390.51429400204961</v>
      </c>
      <c r="AS29" s="102">
        <f t="shared" si="140"/>
        <v>342.69621718547216</v>
      </c>
      <c r="AT29" s="102">
        <f t="shared" si="140"/>
        <v>310.81749930775379</v>
      </c>
      <c r="AU29" s="102">
        <f t="shared" si="140"/>
        <v>278.93878143003491</v>
      </c>
      <c r="AW29" s="86">
        <f t="shared" si="110"/>
        <v>1644.1540146668081</v>
      </c>
      <c r="AX29" s="86">
        <f t="shared" ref="AX29:AZ29" si="141">AW29</f>
        <v>1644.1540146668081</v>
      </c>
      <c r="AY29" s="86">
        <f t="shared" si="141"/>
        <v>1644.1540146668081</v>
      </c>
      <c r="AZ29" s="86">
        <f t="shared" si="141"/>
        <v>1644.1540146668081</v>
      </c>
      <c r="BB29" s="152">
        <f t="shared" si="138"/>
        <v>1644.1540146668081</v>
      </c>
    </row>
    <row r="30" spans="2:54" x14ac:dyDescent="0.35">
      <c r="B30">
        <v>2034</v>
      </c>
      <c r="C30" s="86">
        <v>27046.000000000036</v>
      </c>
      <c r="D30" s="86">
        <v>15783.999999999993</v>
      </c>
      <c r="E30" s="86">
        <v>13851.199999999995</v>
      </c>
      <c r="F30" s="86">
        <v>12563.199999999993</v>
      </c>
      <c r="G30" s="86">
        <v>11274.399999999996</v>
      </c>
      <c r="H30" s="86">
        <f t="shared" si="78"/>
        <v>2034</v>
      </c>
      <c r="I30" s="86">
        <f t="shared" si="113"/>
        <v>26326.721322169902</v>
      </c>
      <c r="J30" s="86">
        <f t="shared" si="114"/>
        <v>15364.230176333986</v>
      </c>
      <c r="K30" s="86">
        <f t="shared" si="93"/>
        <v>13482.832299698259</v>
      </c>
      <c r="L30" s="86">
        <f t="shared" si="94"/>
        <v>12229.08619813223</v>
      </c>
      <c r="M30" s="86">
        <f t="shared" si="95"/>
        <v>10974.561372279517</v>
      </c>
      <c r="N30">
        <f t="shared" si="96"/>
        <v>2034</v>
      </c>
      <c r="O30" s="3">
        <f t="shared" si="97"/>
        <v>0.67168305463968214</v>
      </c>
      <c r="P30" s="3">
        <f t="shared" si="80"/>
        <v>0.39199309821906098</v>
      </c>
      <c r="Q30" s="3">
        <f t="shared" si="81"/>
        <v>0.34399232146805997</v>
      </c>
      <c r="R30" s="3">
        <f t="shared" si="82"/>
        <v>0.31200504888150699</v>
      </c>
      <c r="S30" s="3">
        <f t="shared" si="83"/>
        <v>0.27999790842378242</v>
      </c>
      <c r="U30">
        <f t="shared" si="84"/>
        <v>2034</v>
      </c>
      <c r="V30" s="86">
        <f t="shared" si="115"/>
        <v>26326.721322169902</v>
      </c>
      <c r="W30" s="86">
        <f t="shared" si="85"/>
        <v>15364.230176333986</v>
      </c>
      <c r="X30" s="86">
        <f t="shared" si="86"/>
        <v>13482.832299698259</v>
      </c>
      <c r="Y30" s="86">
        <f t="shared" si="87"/>
        <v>12229.08619813223</v>
      </c>
      <c r="Z30" s="86">
        <f t="shared" si="88"/>
        <v>10974.561372279517</v>
      </c>
      <c r="AB30" s="102">
        <f>'F-Gases'!C53</f>
        <v>367.54286494310554</v>
      </c>
      <c r="AC30" s="86">
        <f>'WAM Projections'!J18</f>
        <v>7792.9696213725965</v>
      </c>
      <c r="AE30">
        <f t="shared" si="98"/>
        <v>2034</v>
      </c>
      <c r="AF30" s="86">
        <f t="shared" si="119"/>
        <v>34487.233808485602</v>
      </c>
      <c r="AG30" s="86">
        <f t="shared" si="116"/>
        <v>17279.212113904676</v>
      </c>
      <c r="AH30" s="86">
        <f t="shared" si="99"/>
        <v>15352.808988500405</v>
      </c>
      <c r="AI30" s="86">
        <f t="shared" si="100"/>
        <v>14069.059387755347</v>
      </c>
      <c r="AJ30" s="86">
        <f t="shared" si="101"/>
        <v>12784.531062723603</v>
      </c>
      <c r="AL30" s="88">
        <f t="shared" si="102"/>
        <v>0.78285564870726376</v>
      </c>
      <c r="AM30" s="88">
        <f t="shared" si="103"/>
        <v>0.39223583090775171</v>
      </c>
      <c r="AN30" s="88">
        <f t="shared" si="104"/>
        <v>0.34850673460548481</v>
      </c>
      <c r="AO30" s="88">
        <f t="shared" si="105"/>
        <v>0.31936578836288754</v>
      </c>
      <c r="AP30" s="88">
        <f t="shared" si="106"/>
        <v>0.29020716518191925</v>
      </c>
      <c r="AQ30" s="86">
        <f t="shared" si="139"/>
        <v>2034</v>
      </c>
      <c r="AR30" s="102">
        <f t="shared" si="140"/>
        <v>367.54286494310554</v>
      </c>
      <c r="AS30" s="102">
        <f t="shared" si="140"/>
        <v>322.53761617456206</v>
      </c>
      <c r="AT30" s="102">
        <f t="shared" si="140"/>
        <v>292.534116995533</v>
      </c>
      <c r="AU30" s="102">
        <f t="shared" si="140"/>
        <v>262.53061781650342</v>
      </c>
      <c r="AW30" s="86">
        <f t="shared" si="110"/>
        <v>1547.439072627584</v>
      </c>
      <c r="AX30" s="86">
        <f t="shared" ref="AX30:AZ30" si="142">AW30</f>
        <v>1547.439072627584</v>
      </c>
      <c r="AY30" s="86">
        <f t="shared" si="142"/>
        <v>1547.439072627584</v>
      </c>
      <c r="AZ30" s="86">
        <f t="shared" si="142"/>
        <v>1547.439072627584</v>
      </c>
      <c r="BB30" s="152">
        <f t="shared" si="138"/>
        <v>1547.439072627584</v>
      </c>
    </row>
    <row r="31" spans="2:54" x14ac:dyDescent="0.35">
      <c r="B31">
        <v>2035</v>
      </c>
      <c r="C31" s="86">
        <v>27046.00000000004</v>
      </c>
      <c r="D31" s="86">
        <v>14797.500000000013</v>
      </c>
      <c r="E31" s="86">
        <v>12985.499999999996</v>
      </c>
      <c r="F31" s="86">
        <v>11777.999999999996</v>
      </c>
      <c r="G31" s="86">
        <v>10569.750000000004</v>
      </c>
      <c r="H31" s="86">
        <f t="shared" si="78"/>
        <v>2035</v>
      </c>
      <c r="I31" s="86">
        <f t="shared" si="113"/>
        <v>26326.721322169906</v>
      </c>
      <c r="J31" s="86">
        <f t="shared" si="114"/>
        <v>14403.96579031313</v>
      </c>
      <c r="K31" s="86">
        <f t="shared" si="93"/>
        <v>12640.155280967119</v>
      </c>
      <c r="L31" s="86">
        <f t="shared" si="94"/>
        <v>11464.768310748968</v>
      </c>
      <c r="M31" s="86">
        <f t="shared" si="95"/>
        <v>10288.651286512055</v>
      </c>
      <c r="N31">
        <f t="shared" si="96"/>
        <v>2035</v>
      </c>
      <c r="O31" s="3">
        <f t="shared" si="97"/>
        <v>0.67168305463968225</v>
      </c>
      <c r="P31" s="3">
        <f t="shared" si="80"/>
        <v>0.36749352958037018</v>
      </c>
      <c r="Q31" s="3">
        <f t="shared" si="81"/>
        <v>0.3224928013763062</v>
      </c>
      <c r="R31" s="3">
        <f t="shared" si="82"/>
        <v>0.29250473332641286</v>
      </c>
      <c r="S31" s="3">
        <f t="shared" si="83"/>
        <v>0.26249803914729619</v>
      </c>
      <c r="U31">
        <f t="shared" si="84"/>
        <v>2035</v>
      </c>
      <c r="V31" s="86">
        <f t="shared" si="115"/>
        <v>26326.721322169906</v>
      </c>
      <c r="W31" s="86">
        <f t="shared" si="85"/>
        <v>14403.96579031313</v>
      </c>
      <c r="X31" s="86">
        <f t="shared" si="86"/>
        <v>12640.155280967119</v>
      </c>
      <c r="Y31" s="86">
        <f t="shared" si="87"/>
        <v>11464.768310748968</v>
      </c>
      <c r="Z31" s="86">
        <f t="shared" si="88"/>
        <v>10288.651286512055</v>
      </c>
      <c r="AB31" s="102">
        <f>'F-Gases'!C54</f>
        <v>344.57143588416147</v>
      </c>
      <c r="AC31" s="86">
        <f>'WAM Projections'!J19</f>
        <v>7421.423320220696</v>
      </c>
      <c r="AE31">
        <f t="shared" si="98"/>
        <v>2035</v>
      </c>
      <c r="AF31" s="86">
        <f t="shared" si="119"/>
        <v>34092.716078274767</v>
      </c>
      <c r="AG31" s="86">
        <f t="shared" si="116"/>
        <v>16199.261356785652</v>
      </c>
      <c r="AH31" s="86">
        <f t="shared" si="99"/>
        <v>14393.258426719131</v>
      </c>
      <c r="AI31" s="86">
        <f t="shared" si="100"/>
        <v>13189.74317602064</v>
      </c>
      <c r="AJ31" s="86">
        <f t="shared" si="101"/>
        <v>11985.497871303387</v>
      </c>
      <c r="AL31" s="88">
        <f t="shared" si="102"/>
        <v>0.7739001483813801</v>
      </c>
      <c r="AM31" s="88">
        <f t="shared" si="103"/>
        <v>0.36772109147601761</v>
      </c>
      <c r="AN31" s="88">
        <f t="shared" si="104"/>
        <v>0.32672506369264204</v>
      </c>
      <c r="AO31" s="88">
        <f t="shared" si="105"/>
        <v>0.29940542659020708</v>
      </c>
      <c r="AP31" s="88">
        <f t="shared" si="106"/>
        <v>0.27206921735804951</v>
      </c>
      <c r="AQ31" s="86">
        <f t="shared" si="139"/>
        <v>2035</v>
      </c>
      <c r="AR31" s="102">
        <f t="shared" si="140"/>
        <v>344.57143588416147</v>
      </c>
      <c r="AS31" s="102">
        <f t="shared" si="140"/>
        <v>302.37901516365196</v>
      </c>
      <c r="AT31" s="102">
        <f t="shared" si="140"/>
        <v>274.2507346833122</v>
      </c>
      <c r="AU31" s="102">
        <f t="shared" si="140"/>
        <v>246.12245420297197</v>
      </c>
      <c r="AW31" s="86">
        <f t="shared" si="110"/>
        <v>1450.7241305883599</v>
      </c>
      <c r="AX31" s="86">
        <f t="shared" ref="AX31:AZ31" si="143">AW31</f>
        <v>1450.7241305883599</v>
      </c>
      <c r="AY31" s="86">
        <f t="shared" si="143"/>
        <v>1450.7241305883599</v>
      </c>
      <c r="AZ31" s="86">
        <f t="shared" si="143"/>
        <v>1450.7241305883599</v>
      </c>
      <c r="BB31" s="152">
        <f t="shared" si="138"/>
        <v>1450.7241305883599</v>
      </c>
    </row>
    <row r="32" spans="2:54" x14ac:dyDescent="0.35">
      <c r="B32">
        <v>2036</v>
      </c>
      <c r="C32" s="86">
        <v>27046.000000000007</v>
      </c>
      <c r="D32" s="86">
        <v>13811</v>
      </c>
      <c r="E32" s="86">
        <v>12119.799999999997</v>
      </c>
      <c r="F32" s="86">
        <v>10992.800000000007</v>
      </c>
      <c r="G32" s="86">
        <v>9865.0999999999949</v>
      </c>
      <c r="H32" s="86">
        <f t="shared" si="78"/>
        <v>2036</v>
      </c>
      <c r="I32" s="86">
        <f t="shared" si="113"/>
        <v>26326.721322169873</v>
      </c>
      <c r="J32" s="86">
        <f t="shared" si="114"/>
        <v>13443.701404292244</v>
      </c>
      <c r="K32" s="86">
        <f t="shared" si="93"/>
        <v>11797.478262235978</v>
      </c>
      <c r="L32" s="86">
        <f t="shared" si="94"/>
        <v>10700.450423365714</v>
      </c>
      <c r="M32" s="86">
        <f t="shared" si="95"/>
        <v>9602.7412007445764</v>
      </c>
      <c r="N32">
        <f t="shared" si="96"/>
        <v>2036</v>
      </c>
      <c r="O32" s="3">
        <f t="shared" si="97"/>
        <v>0.67168305463968137</v>
      </c>
      <c r="P32" s="3">
        <f t="shared" si="80"/>
        <v>0.3429939609416785</v>
      </c>
      <c r="Q32" s="3">
        <f t="shared" si="81"/>
        <v>0.30099328128455249</v>
      </c>
      <c r="R32" s="3">
        <f t="shared" si="82"/>
        <v>0.27300441777131895</v>
      </c>
      <c r="S32" s="3">
        <f t="shared" si="83"/>
        <v>0.24499816987080958</v>
      </c>
      <c r="U32">
        <f t="shared" si="84"/>
        <v>2036</v>
      </c>
      <c r="V32" s="86">
        <f t="shared" si="115"/>
        <v>26326.721322169873</v>
      </c>
      <c r="W32" s="86">
        <f t="shared" si="85"/>
        <v>13443.701404292244</v>
      </c>
      <c r="X32" s="86">
        <f t="shared" si="86"/>
        <v>11797.478262235978</v>
      </c>
      <c r="Y32" s="86">
        <f t="shared" si="87"/>
        <v>10700.450423365714</v>
      </c>
      <c r="Z32" s="86">
        <f t="shared" si="88"/>
        <v>9602.7412007445764</v>
      </c>
      <c r="AB32" s="102">
        <f>'F-Gases'!C55</f>
        <v>321.60000682521741</v>
      </c>
      <c r="AC32" s="86">
        <f>'WAM Projections'!J20</f>
        <v>7825.7610286651934</v>
      </c>
      <c r="AE32">
        <f t="shared" si="98"/>
        <v>2036</v>
      </c>
      <c r="AF32" s="86">
        <f t="shared" si="119"/>
        <v>34474.082357660285</v>
      </c>
      <c r="AG32" s="86">
        <f t="shared" si="116"/>
        <v>15119.310599666598</v>
      </c>
      <c r="AH32" s="86">
        <f t="shared" si="99"/>
        <v>13433.707864937856</v>
      </c>
      <c r="AI32" s="86">
        <f t="shared" si="100"/>
        <v>12310.426964285942</v>
      </c>
      <c r="AJ32" s="86">
        <f t="shared" si="101"/>
        <v>11186.464679883153</v>
      </c>
      <c r="AL32" s="88">
        <f t="shared" si="102"/>
        <v>0.7825571125119728</v>
      </c>
      <c r="AM32" s="88">
        <f t="shared" si="103"/>
        <v>0.3432063520442829</v>
      </c>
      <c r="AN32" s="88">
        <f t="shared" si="104"/>
        <v>0.30494339277979926</v>
      </c>
      <c r="AO32" s="88">
        <f t="shared" si="105"/>
        <v>0.27944506481752684</v>
      </c>
      <c r="AP32" s="88">
        <f t="shared" si="106"/>
        <v>0.25393126953417933</v>
      </c>
      <c r="AQ32" s="86">
        <f t="shared" si="139"/>
        <v>2036</v>
      </c>
      <c r="AR32" s="102">
        <f t="shared" si="140"/>
        <v>321.60000682521741</v>
      </c>
      <c r="AS32" s="102">
        <f t="shared" si="140"/>
        <v>282.22041415274185</v>
      </c>
      <c r="AT32" s="102">
        <f t="shared" si="140"/>
        <v>255.96735237109141</v>
      </c>
      <c r="AU32" s="102">
        <f t="shared" si="140"/>
        <v>229.71429058944051</v>
      </c>
      <c r="AW32" s="86">
        <f t="shared" si="110"/>
        <v>1354.0091885491358</v>
      </c>
      <c r="AX32" s="86">
        <f t="shared" ref="AX32:AZ32" si="144">AW32</f>
        <v>1354.0091885491358</v>
      </c>
      <c r="AY32" s="86">
        <f t="shared" si="144"/>
        <v>1354.0091885491358</v>
      </c>
      <c r="AZ32" s="86">
        <f t="shared" si="144"/>
        <v>1354.0091885491358</v>
      </c>
      <c r="BB32" s="152">
        <f t="shared" si="138"/>
        <v>1354.0091885491358</v>
      </c>
    </row>
    <row r="33" spans="2:54" x14ac:dyDescent="0.35">
      <c r="B33">
        <v>2037</v>
      </c>
      <c r="C33" s="86">
        <v>27045.999999999993</v>
      </c>
      <c r="D33" s="86">
        <v>12824.500000000002</v>
      </c>
      <c r="E33" s="86">
        <v>11254.099999999999</v>
      </c>
      <c r="F33" s="86">
        <v>10207.600000000006</v>
      </c>
      <c r="G33" s="86">
        <v>9160.4499999999989</v>
      </c>
      <c r="H33" s="86">
        <f t="shared" si="78"/>
        <v>2037</v>
      </c>
      <c r="I33" s="86">
        <f t="shared" si="113"/>
        <v>26326.721322169858</v>
      </c>
      <c r="J33" s="86">
        <f t="shared" si="114"/>
        <v>12483.43701827137</v>
      </c>
      <c r="K33" s="86">
        <f t="shared" si="93"/>
        <v>10954.801243504839</v>
      </c>
      <c r="L33" s="86">
        <f t="shared" si="94"/>
        <v>9936.1325359824477</v>
      </c>
      <c r="M33" s="86">
        <f t="shared" si="95"/>
        <v>8916.8311149771107</v>
      </c>
      <c r="N33">
        <f t="shared" si="96"/>
        <v>2037</v>
      </c>
      <c r="O33" s="3">
        <f t="shared" si="97"/>
        <v>0.67168305463968103</v>
      </c>
      <c r="P33" s="3">
        <f t="shared" si="80"/>
        <v>0.31849439230298726</v>
      </c>
      <c r="Q33" s="3">
        <f t="shared" si="81"/>
        <v>0.27949376119279878</v>
      </c>
      <c r="R33" s="3">
        <f t="shared" si="82"/>
        <v>0.25350410221622471</v>
      </c>
      <c r="S33" s="3">
        <f t="shared" si="83"/>
        <v>0.22749830059432327</v>
      </c>
      <c r="U33">
        <f t="shared" si="84"/>
        <v>2037</v>
      </c>
      <c r="V33" s="86">
        <f t="shared" si="115"/>
        <v>26326.721322169858</v>
      </c>
      <c r="W33" s="86">
        <f t="shared" si="85"/>
        <v>12483.43701827137</v>
      </c>
      <c r="X33" s="86">
        <f t="shared" si="86"/>
        <v>10954.801243504839</v>
      </c>
      <c r="Y33" s="86">
        <f t="shared" si="87"/>
        <v>9936.1325359824477</v>
      </c>
      <c r="Z33" s="86">
        <f t="shared" si="88"/>
        <v>8916.8311149771107</v>
      </c>
      <c r="AB33" s="102">
        <f>'F-Gases'!C56</f>
        <v>298.62857776627334</v>
      </c>
      <c r="AC33" s="86">
        <f>'WAM Projections'!J21</f>
        <v>7811.2647363183914</v>
      </c>
      <c r="AE33">
        <f t="shared" si="98"/>
        <v>2037</v>
      </c>
      <c r="AF33" s="86">
        <f t="shared" si="119"/>
        <v>34436.614636254526</v>
      </c>
      <c r="AG33" s="86">
        <f t="shared" si="116"/>
        <v>14039.359842547554</v>
      </c>
      <c r="AH33" s="86">
        <f t="shared" si="99"/>
        <v>12474.157303156582</v>
      </c>
      <c r="AI33" s="86">
        <f t="shared" si="100"/>
        <v>11431.110752551229</v>
      </c>
      <c r="AJ33" s="86">
        <f t="shared" si="101"/>
        <v>10387.431488462931</v>
      </c>
      <c r="AL33" s="88">
        <f t="shared" si="102"/>
        <v>0.78170660018878757</v>
      </c>
      <c r="AM33" s="88">
        <f t="shared" si="103"/>
        <v>0.31869161261254836</v>
      </c>
      <c r="AN33" s="88">
        <f t="shared" si="104"/>
        <v>0.28316172186695648</v>
      </c>
      <c r="AO33" s="88">
        <f t="shared" si="105"/>
        <v>0.25948470304484633</v>
      </c>
      <c r="AP33" s="88">
        <f t="shared" si="106"/>
        <v>0.23579332171030948</v>
      </c>
      <c r="AQ33" s="86">
        <f t="shared" si="139"/>
        <v>2037</v>
      </c>
      <c r="AR33" s="102">
        <f t="shared" si="140"/>
        <v>298.62857776627334</v>
      </c>
      <c r="AS33" s="102">
        <f t="shared" si="140"/>
        <v>262.06181314183175</v>
      </c>
      <c r="AT33" s="102">
        <f t="shared" si="140"/>
        <v>237.68397005887061</v>
      </c>
      <c r="AU33" s="102">
        <f t="shared" si="140"/>
        <v>213.30612697590905</v>
      </c>
      <c r="AW33" s="86">
        <f t="shared" si="110"/>
        <v>1257.2942465099118</v>
      </c>
      <c r="AX33" s="86">
        <f t="shared" ref="AX33:AZ33" si="145">AW33</f>
        <v>1257.2942465099118</v>
      </c>
      <c r="AY33" s="86">
        <f t="shared" si="145"/>
        <v>1257.2942465099118</v>
      </c>
      <c r="AZ33" s="86">
        <f t="shared" si="145"/>
        <v>1257.2942465099118</v>
      </c>
      <c r="BB33" s="152">
        <f t="shared" si="138"/>
        <v>1257.2942465099118</v>
      </c>
    </row>
    <row r="34" spans="2:54" x14ac:dyDescent="0.35">
      <c r="B34">
        <v>2038</v>
      </c>
      <c r="C34" s="86">
        <v>26891.263231252728</v>
      </c>
      <c r="D34" s="86">
        <v>11837.999999999996</v>
      </c>
      <c r="E34" s="86">
        <v>10388.400000000001</v>
      </c>
      <c r="F34" s="86">
        <v>9422.3999999999905</v>
      </c>
      <c r="G34" s="86">
        <v>8455.8000000000011</v>
      </c>
      <c r="H34" s="86">
        <f t="shared" si="78"/>
        <v>2038</v>
      </c>
      <c r="I34" s="86">
        <f t="shared" si="113"/>
        <v>26176.099722336159</v>
      </c>
      <c r="J34" s="86">
        <f t="shared" si="114"/>
        <v>11523.172632250491</v>
      </c>
      <c r="K34" s="86">
        <f t="shared" si="93"/>
        <v>10112.124224773699</v>
      </c>
      <c r="L34" s="86">
        <f t="shared" si="94"/>
        <v>9171.8146485991674</v>
      </c>
      <c r="M34" s="86">
        <f t="shared" si="95"/>
        <v>8230.9210292096413</v>
      </c>
      <c r="N34">
        <f t="shared" si="96"/>
        <v>2038</v>
      </c>
      <c r="O34" s="3">
        <f t="shared" si="97"/>
        <v>0.66784019190592236</v>
      </c>
      <c r="P34" s="3">
        <f t="shared" si="80"/>
        <v>0.2939948236642958</v>
      </c>
      <c r="Q34" s="3">
        <f t="shared" si="81"/>
        <v>0.25799424110104507</v>
      </c>
      <c r="R34" s="3">
        <f t="shared" si="82"/>
        <v>0.23400378666113014</v>
      </c>
      <c r="S34" s="3">
        <f t="shared" si="83"/>
        <v>0.20999843131783691</v>
      </c>
      <c r="U34">
        <f t="shared" si="84"/>
        <v>2038</v>
      </c>
      <c r="V34" s="86">
        <f t="shared" si="115"/>
        <v>26176.099722336159</v>
      </c>
      <c r="W34" s="86">
        <f t="shared" si="85"/>
        <v>11523.172632250491</v>
      </c>
      <c r="X34" s="86">
        <f t="shared" si="86"/>
        <v>10112.124224773699</v>
      </c>
      <c r="Y34" s="86">
        <f t="shared" si="87"/>
        <v>9171.8146485991674</v>
      </c>
      <c r="Z34" s="86">
        <f t="shared" si="88"/>
        <v>8230.9210292096413</v>
      </c>
      <c r="AB34" s="102">
        <f>'F-Gases'!C57</f>
        <v>275.65714870732927</v>
      </c>
      <c r="AC34" s="86">
        <f>'WAM Projections'!J22</f>
        <v>6941.3857937331741</v>
      </c>
      <c r="AE34">
        <f t="shared" si="98"/>
        <v>2038</v>
      </c>
      <c r="AF34" s="86">
        <f t="shared" si="119"/>
        <v>33393.142664776664</v>
      </c>
      <c r="AG34" s="86">
        <f t="shared" si="116"/>
        <v>12959.409085428508</v>
      </c>
      <c r="AH34" s="86">
        <f t="shared" si="99"/>
        <v>11514.606741375308</v>
      </c>
      <c r="AI34" s="86">
        <f t="shared" si="100"/>
        <v>10551.794540816505</v>
      </c>
      <c r="AJ34" s="86">
        <f t="shared" si="101"/>
        <v>9588.398297042706</v>
      </c>
      <c r="AL34" s="88">
        <f t="shared" si="102"/>
        <v>0.75801992436910637</v>
      </c>
      <c r="AM34" s="88">
        <f t="shared" si="103"/>
        <v>0.29417687318081381</v>
      </c>
      <c r="AN34" s="88">
        <f t="shared" si="104"/>
        <v>0.26138005095411371</v>
      </c>
      <c r="AO34" s="88">
        <f t="shared" si="105"/>
        <v>0.23952434127216551</v>
      </c>
      <c r="AP34" s="88">
        <f t="shared" si="106"/>
        <v>0.21765537388643952</v>
      </c>
      <c r="AQ34" s="86">
        <f t="shared" si="139"/>
        <v>2038</v>
      </c>
      <c r="AR34" s="102">
        <f t="shared" si="140"/>
        <v>275.65714870732927</v>
      </c>
      <c r="AS34" s="102">
        <f t="shared" si="140"/>
        <v>241.90321213092162</v>
      </c>
      <c r="AT34" s="102">
        <f t="shared" si="140"/>
        <v>219.40058774664982</v>
      </c>
      <c r="AU34" s="102">
        <f t="shared" si="140"/>
        <v>196.8979633623776</v>
      </c>
      <c r="AW34" s="86">
        <f t="shared" si="110"/>
        <v>1160.5793044706877</v>
      </c>
      <c r="AX34" s="86">
        <f t="shared" ref="AX34:AZ34" si="146">AW34</f>
        <v>1160.5793044706877</v>
      </c>
      <c r="AY34" s="86">
        <f t="shared" si="146"/>
        <v>1160.5793044706877</v>
      </c>
      <c r="AZ34" s="86">
        <f t="shared" si="146"/>
        <v>1160.5793044706877</v>
      </c>
      <c r="BB34" s="152">
        <f t="shared" si="138"/>
        <v>1160.5793044706877</v>
      </c>
    </row>
    <row r="35" spans="2:54" x14ac:dyDescent="0.35">
      <c r="B35">
        <v>2039</v>
      </c>
      <c r="C35" s="86">
        <v>26872.277784514714</v>
      </c>
      <c r="D35" s="86">
        <v>10851.5</v>
      </c>
      <c r="E35" s="86">
        <v>9522.6999999999935</v>
      </c>
      <c r="F35" s="86">
        <v>8637.2000000000062</v>
      </c>
      <c r="G35" s="86">
        <v>7751.1500000000033</v>
      </c>
      <c r="H35" s="86">
        <f t="shared" si="78"/>
        <v>2039</v>
      </c>
      <c r="I35" s="86">
        <f t="shared" si="113"/>
        <v>26157.61918675054</v>
      </c>
      <c r="J35" s="86">
        <f t="shared" si="114"/>
        <v>10562.908246229619</v>
      </c>
      <c r="K35" s="86">
        <f t="shared" si="93"/>
        <v>9269.4472060425505</v>
      </c>
      <c r="L35" s="86">
        <f t="shared" si="94"/>
        <v>8407.496761215918</v>
      </c>
      <c r="M35" s="86">
        <f t="shared" si="95"/>
        <v>7545.0109434421738</v>
      </c>
      <c r="N35">
        <f t="shared" si="96"/>
        <v>2039</v>
      </c>
      <c r="O35" s="3">
        <f t="shared" si="97"/>
        <v>0.66736869139351063</v>
      </c>
      <c r="P35" s="3">
        <f t="shared" si="80"/>
        <v>0.26949525502560456</v>
      </c>
      <c r="Q35" s="3">
        <f t="shared" si="81"/>
        <v>0.23649472100929114</v>
      </c>
      <c r="R35" s="3">
        <f t="shared" si="82"/>
        <v>0.21450347110603635</v>
      </c>
      <c r="S35" s="3">
        <f t="shared" si="83"/>
        <v>0.19249856204135055</v>
      </c>
      <c r="U35">
        <f t="shared" si="84"/>
        <v>2039</v>
      </c>
      <c r="V35" s="86">
        <f t="shared" si="115"/>
        <v>26157.61918675054</v>
      </c>
      <c r="W35" s="86">
        <f t="shared" si="85"/>
        <v>10562.908246229619</v>
      </c>
      <c r="X35" s="86">
        <f t="shared" si="86"/>
        <v>9269.4472060425505</v>
      </c>
      <c r="Y35" s="86">
        <f t="shared" si="87"/>
        <v>8407.496761215918</v>
      </c>
      <c r="Z35" s="86">
        <f t="shared" si="88"/>
        <v>7545.0109434421738</v>
      </c>
      <c r="AB35" s="102">
        <f>'F-Gases'!C58</f>
        <v>252.6857196483852</v>
      </c>
      <c r="AC35" s="86">
        <f>'WAM Projections'!J23</f>
        <v>7111.3955862774783</v>
      </c>
      <c r="AE35">
        <f t="shared" si="98"/>
        <v>2039</v>
      </c>
      <c r="AF35" s="86">
        <f t="shared" si="119"/>
        <v>33521.700492676406</v>
      </c>
      <c r="AG35" s="86">
        <f t="shared" si="116"/>
        <v>11879.458328309469</v>
      </c>
      <c r="AH35" s="86">
        <f t="shared" si="99"/>
        <v>10555.056179594027</v>
      </c>
      <c r="AI35" s="86">
        <f t="shared" si="100"/>
        <v>9672.4783290818123</v>
      </c>
      <c r="AJ35" s="86">
        <f t="shared" si="101"/>
        <v>8789.3651056224844</v>
      </c>
      <c r="AL35" s="88">
        <f t="shared" si="102"/>
        <v>0.76093817006882625</v>
      </c>
      <c r="AM35" s="88">
        <f t="shared" si="103"/>
        <v>0.26966213374907938</v>
      </c>
      <c r="AN35" s="88">
        <f t="shared" si="104"/>
        <v>0.23959838004127076</v>
      </c>
      <c r="AO35" s="88">
        <f t="shared" si="105"/>
        <v>0.21956397949948542</v>
      </c>
      <c r="AP35" s="88">
        <f t="shared" si="106"/>
        <v>0.19951742606256964</v>
      </c>
      <c r="AQ35" s="86">
        <f t="shared" si="139"/>
        <v>2039</v>
      </c>
      <c r="AR35" s="102">
        <f t="shared" si="140"/>
        <v>252.68571964838517</v>
      </c>
      <c r="AS35" s="102">
        <f t="shared" si="140"/>
        <v>221.74461112001148</v>
      </c>
      <c r="AT35" s="102">
        <f t="shared" si="140"/>
        <v>201.11720543442902</v>
      </c>
      <c r="AU35" s="102">
        <f t="shared" si="140"/>
        <v>180.48979974884614</v>
      </c>
      <c r="AW35" s="86">
        <f t="shared" si="110"/>
        <v>1063.8643624314636</v>
      </c>
      <c r="AX35" s="86">
        <f t="shared" ref="AX35:AZ35" si="147">AW35</f>
        <v>1063.8643624314636</v>
      </c>
      <c r="AY35" s="86">
        <f t="shared" si="147"/>
        <v>1063.8643624314636</v>
      </c>
      <c r="AZ35" s="86">
        <f t="shared" si="147"/>
        <v>1063.8643624314636</v>
      </c>
      <c r="BB35" s="152">
        <f t="shared" si="138"/>
        <v>1063.8643624314636</v>
      </c>
    </row>
    <row r="36" spans="2:54" x14ac:dyDescent="0.35">
      <c r="B36">
        <v>2040</v>
      </c>
      <c r="C36" s="86">
        <v>26449.752236183624</v>
      </c>
      <c r="D36" s="86">
        <v>9864.9999999999964</v>
      </c>
      <c r="E36" s="86">
        <v>8656.9999999999891</v>
      </c>
      <c r="F36" s="86">
        <v>7851.9999999999945</v>
      </c>
      <c r="G36" s="86">
        <v>7046.4999999999891</v>
      </c>
      <c r="H36" s="86">
        <f t="shared" si="78"/>
        <v>2040</v>
      </c>
      <c r="I36" s="86">
        <f t="shared" si="113"/>
        <v>25746.330553961601</v>
      </c>
      <c r="J36" s="86">
        <f t="shared" si="114"/>
        <v>9602.6438602087419</v>
      </c>
      <c r="K36" s="86">
        <f t="shared" si="93"/>
        <v>8426.7701873114038</v>
      </c>
      <c r="L36" s="86">
        <f t="shared" si="94"/>
        <v>7643.1788738326422</v>
      </c>
      <c r="M36" s="86">
        <f t="shared" si="95"/>
        <v>6859.1008576746899</v>
      </c>
      <c r="N36">
        <f t="shared" si="96"/>
        <v>2040</v>
      </c>
      <c r="O36" s="3">
        <f t="shared" si="97"/>
        <v>0.65687533744223014</v>
      </c>
      <c r="P36" s="3">
        <f t="shared" si="80"/>
        <v>0.24499568638691313</v>
      </c>
      <c r="Q36" s="3">
        <f t="shared" si="81"/>
        <v>0.21499520091753727</v>
      </c>
      <c r="R36" s="3">
        <f t="shared" si="82"/>
        <v>0.19500315555094186</v>
      </c>
      <c r="S36" s="3">
        <f t="shared" si="83"/>
        <v>0.17499869276486379</v>
      </c>
      <c r="U36">
        <f t="shared" si="84"/>
        <v>2040</v>
      </c>
      <c r="V36" s="86">
        <f t="shared" si="115"/>
        <v>25746.330553961601</v>
      </c>
      <c r="W36" s="86">
        <f t="shared" si="85"/>
        <v>9602.6438602087419</v>
      </c>
      <c r="X36" s="86">
        <f t="shared" si="86"/>
        <v>8426.7701873114038</v>
      </c>
      <c r="Y36" s="86">
        <f t="shared" si="87"/>
        <v>7643.1788738326422</v>
      </c>
      <c r="Z36" s="86">
        <f t="shared" si="88"/>
        <v>6859.1008576746899</v>
      </c>
      <c r="AB36" s="102">
        <f>'F-Gases'!C59</f>
        <v>229.71429058944113</v>
      </c>
      <c r="AC36" s="86">
        <f>'WAM Projections'!J24</f>
        <v>7119.000383350256</v>
      </c>
      <c r="AE36">
        <f t="shared" si="98"/>
        <v>2040</v>
      </c>
      <c r="AF36" s="86">
        <f t="shared" si="119"/>
        <v>33095.045227901297</v>
      </c>
      <c r="AG36" s="86">
        <f t="shared" si="116"/>
        <v>10799.507571190423</v>
      </c>
      <c r="AH36" s="86">
        <f t="shared" si="99"/>
        <v>9595.5056178127452</v>
      </c>
      <c r="AI36" s="86">
        <f t="shared" si="100"/>
        <v>8793.1621173470903</v>
      </c>
      <c r="AJ36" s="86">
        <f t="shared" si="101"/>
        <v>7990.3319142022438</v>
      </c>
      <c r="AL36" s="88">
        <f t="shared" si="102"/>
        <v>0.75125315195648046</v>
      </c>
      <c r="AM36" s="88">
        <f t="shared" si="103"/>
        <v>0.24514739431734481</v>
      </c>
      <c r="AN36" s="88">
        <f t="shared" si="104"/>
        <v>0.21781670912842782</v>
      </c>
      <c r="AO36" s="88">
        <f t="shared" si="105"/>
        <v>0.19960361772680466</v>
      </c>
      <c r="AP36" s="88">
        <f t="shared" si="106"/>
        <v>0.18137947823869935</v>
      </c>
      <c r="AQ36" s="86">
        <f t="shared" si="139"/>
        <v>2040</v>
      </c>
      <c r="AR36" s="102">
        <f t="shared" si="140"/>
        <v>229.71429058944108</v>
      </c>
      <c r="AS36" s="102">
        <f t="shared" si="140"/>
        <v>201.58601010910135</v>
      </c>
      <c r="AT36" s="102">
        <f t="shared" si="140"/>
        <v>182.83382312220823</v>
      </c>
      <c r="AU36" s="102">
        <f t="shared" si="140"/>
        <v>164.08163613531468</v>
      </c>
      <c r="AW36" s="86">
        <f t="shared" si="110"/>
        <v>967.14942039223956</v>
      </c>
      <c r="AX36" s="86">
        <f t="shared" ref="AX36:AZ36" si="148">AW36</f>
        <v>967.14942039223956</v>
      </c>
      <c r="AY36" s="86">
        <f t="shared" si="148"/>
        <v>967.14942039223956</v>
      </c>
      <c r="AZ36" s="86">
        <f t="shared" si="148"/>
        <v>967.14942039223956</v>
      </c>
      <c r="BB36" s="152">
        <f t="shared" si="138"/>
        <v>967.14942039223956</v>
      </c>
    </row>
    <row r="37" spans="2:54" x14ac:dyDescent="0.35">
      <c r="B37">
        <v>2041</v>
      </c>
      <c r="C37" s="86">
        <v>26872.09932671599</v>
      </c>
      <c r="D37" s="86">
        <v>8878.4999999999909</v>
      </c>
      <c r="E37" s="86">
        <v>7791.2999999999947</v>
      </c>
      <c r="F37" s="86">
        <v>7066.7999999999938</v>
      </c>
      <c r="G37" s="86">
        <v>6341.8499999999995</v>
      </c>
      <c r="H37" s="86">
        <f t="shared" si="78"/>
        <v>2041</v>
      </c>
      <c r="I37" s="86">
        <f t="shared" si="113"/>
        <v>26157.445474973021</v>
      </c>
      <c r="J37" s="86">
        <f t="shared" si="114"/>
        <v>8642.3794741878628</v>
      </c>
      <c r="K37" s="86">
        <f t="shared" si="93"/>
        <v>7584.093168580268</v>
      </c>
      <c r="L37" s="86">
        <f t="shared" si="94"/>
        <v>6878.8609864493765</v>
      </c>
      <c r="M37" s="86">
        <f t="shared" si="95"/>
        <v>6173.1907719072306</v>
      </c>
      <c r="N37">
        <f t="shared" si="96"/>
        <v>2041</v>
      </c>
      <c r="O37" s="3">
        <f t="shared" si="97"/>
        <v>0.6673642594228173</v>
      </c>
      <c r="P37" s="3">
        <f t="shared" si="80"/>
        <v>0.22049611774822167</v>
      </c>
      <c r="Q37" s="3">
        <f t="shared" si="81"/>
        <v>0.19349568082578367</v>
      </c>
      <c r="R37" s="3">
        <f t="shared" si="82"/>
        <v>0.17550283999584762</v>
      </c>
      <c r="S37" s="3">
        <f t="shared" si="83"/>
        <v>0.15749882348837765</v>
      </c>
      <c r="U37">
        <f t="shared" si="84"/>
        <v>2041</v>
      </c>
      <c r="V37" s="86">
        <f t="shared" si="115"/>
        <v>26157.445474973021</v>
      </c>
      <c r="W37" s="86">
        <f t="shared" si="85"/>
        <v>8642.3794741878628</v>
      </c>
      <c r="X37" s="86">
        <f t="shared" si="86"/>
        <v>7584.093168580268</v>
      </c>
      <c r="Y37" s="86">
        <f t="shared" si="87"/>
        <v>6878.8609864493765</v>
      </c>
      <c r="Z37" s="86">
        <f t="shared" si="88"/>
        <v>6173.1907719072306</v>
      </c>
      <c r="AB37" s="102">
        <f>'F-Gases'!C60</f>
        <v>206.74286153049707</v>
      </c>
      <c r="AC37" s="86">
        <f>AC36-AC$9</f>
        <v>6407.1003450152302</v>
      </c>
      <c r="AE37">
        <f t="shared" si="98"/>
        <v>2041</v>
      </c>
      <c r="AF37" s="86">
        <f t="shared" si="119"/>
        <v>32771.288681518745</v>
      </c>
      <c r="AG37" s="86">
        <f t="shared" si="116"/>
        <v>9719.5568140713749</v>
      </c>
      <c r="AH37" s="86">
        <f t="shared" si="99"/>
        <v>8635.9550560314747</v>
      </c>
      <c r="AI37" s="86">
        <f t="shared" si="100"/>
        <v>7913.8459056123793</v>
      </c>
      <c r="AJ37" s="86">
        <f t="shared" si="101"/>
        <v>7191.2987227820286</v>
      </c>
      <c r="AL37" s="88">
        <f t="shared" si="102"/>
        <v>0.7439039211498284</v>
      </c>
      <c r="AM37" s="88">
        <f t="shared" si="103"/>
        <v>0.22063265488561021</v>
      </c>
      <c r="AN37" s="88">
        <f t="shared" si="104"/>
        <v>0.19603503821558513</v>
      </c>
      <c r="AO37" s="88">
        <f t="shared" si="105"/>
        <v>0.17964325595412414</v>
      </c>
      <c r="AP37" s="88">
        <f t="shared" si="106"/>
        <v>0.16324153041482961</v>
      </c>
      <c r="AQ37" s="86">
        <f t="shared" si="139"/>
        <v>2041</v>
      </c>
      <c r="AR37" s="102">
        <f t="shared" si="140"/>
        <v>206.74286153049698</v>
      </c>
      <c r="AS37" s="102">
        <f t="shared" si="140"/>
        <v>181.42740909819122</v>
      </c>
      <c r="AT37" s="102">
        <f t="shared" si="140"/>
        <v>164.55044080998744</v>
      </c>
      <c r="AU37" s="102">
        <f t="shared" si="140"/>
        <v>147.67347252178322</v>
      </c>
      <c r="AW37" s="86">
        <f t="shared" si="110"/>
        <v>870.43447835301549</v>
      </c>
      <c r="AX37" s="86">
        <f t="shared" ref="AX37:AZ37" si="149">AW37</f>
        <v>870.43447835301549</v>
      </c>
      <c r="AY37" s="86">
        <f t="shared" si="149"/>
        <v>870.43447835301549</v>
      </c>
      <c r="AZ37" s="86">
        <f t="shared" si="149"/>
        <v>870.43447835301549</v>
      </c>
      <c r="BB37" s="152">
        <f t="shared" si="138"/>
        <v>870.43447835301549</v>
      </c>
    </row>
    <row r="38" spans="2:54" x14ac:dyDescent="0.35">
      <c r="B38">
        <v>2042</v>
      </c>
      <c r="C38" s="86">
        <v>27046.000000000007</v>
      </c>
      <c r="D38" s="86">
        <v>7891.9999999999909</v>
      </c>
      <c r="E38" s="86">
        <v>6925.5999999999967</v>
      </c>
      <c r="F38" s="86">
        <v>6281.6000000000058</v>
      </c>
      <c r="G38" s="86">
        <v>5637.1999999999989</v>
      </c>
      <c r="H38" s="86">
        <f t="shared" si="78"/>
        <v>2042</v>
      </c>
      <c r="I38" s="86">
        <f t="shared" si="113"/>
        <v>26326.721322169873</v>
      </c>
      <c r="J38" s="86">
        <f t="shared" si="114"/>
        <v>7682.1150881669873</v>
      </c>
      <c r="K38" s="86">
        <f t="shared" si="93"/>
        <v>6741.4161498491285</v>
      </c>
      <c r="L38" s="86">
        <f t="shared" si="94"/>
        <v>6114.5430990661234</v>
      </c>
      <c r="M38" s="86">
        <f t="shared" si="95"/>
        <v>5487.2806861397594</v>
      </c>
      <c r="N38">
        <f t="shared" si="96"/>
        <v>2042</v>
      </c>
      <c r="O38" s="3">
        <f t="shared" si="97"/>
        <v>0.67168305463968137</v>
      </c>
      <c r="P38" s="3">
        <f t="shared" si="80"/>
        <v>0.19599654910953035</v>
      </c>
      <c r="Q38" s="3">
        <f t="shared" si="81"/>
        <v>0.17199616073402996</v>
      </c>
      <c r="R38" s="3">
        <f t="shared" si="82"/>
        <v>0.15600252444075374</v>
      </c>
      <c r="S38" s="3">
        <f t="shared" si="83"/>
        <v>0.13999895421189124</v>
      </c>
      <c r="U38">
        <f t="shared" si="84"/>
        <v>2042</v>
      </c>
      <c r="V38" s="86">
        <f t="shared" si="115"/>
        <v>26326.721322169873</v>
      </c>
      <c r="W38" s="86">
        <f t="shared" si="85"/>
        <v>7682.1150881669873</v>
      </c>
      <c r="X38" s="86">
        <f t="shared" si="86"/>
        <v>6741.4161498491285</v>
      </c>
      <c r="Y38" s="86">
        <f t="shared" si="87"/>
        <v>6114.5430990661234</v>
      </c>
      <c r="Z38" s="86">
        <f t="shared" si="88"/>
        <v>5487.2806861397594</v>
      </c>
      <c r="AB38" s="102">
        <f>'F-Gases'!C61</f>
        <v>183.771432471553</v>
      </c>
      <c r="AC38" s="86">
        <f t="shared" ref="AC38:AC46" si="150">AC37-AC$9</f>
        <v>5695.2003066802044</v>
      </c>
      <c r="AE38">
        <f t="shared" si="98"/>
        <v>2042</v>
      </c>
      <c r="AF38" s="86">
        <f t="shared" si="119"/>
        <v>32205.693061321632</v>
      </c>
      <c r="AG38" s="86">
        <f t="shared" si="116"/>
        <v>8639.6060569523306</v>
      </c>
      <c r="AH38" s="86">
        <f t="shared" si="99"/>
        <v>7676.4044942502014</v>
      </c>
      <c r="AI38" s="86">
        <f t="shared" si="100"/>
        <v>7034.5296938776819</v>
      </c>
      <c r="AJ38" s="86">
        <f t="shared" si="101"/>
        <v>6392.2655313618025</v>
      </c>
      <c r="AL38" s="88">
        <f t="shared" si="102"/>
        <v>0.7310649753354368</v>
      </c>
      <c r="AM38" s="88">
        <f t="shared" si="103"/>
        <v>0.19611791545387569</v>
      </c>
      <c r="AN38" s="88">
        <f t="shared" si="104"/>
        <v>0.17425336730274238</v>
      </c>
      <c r="AO38" s="88">
        <f t="shared" si="105"/>
        <v>0.15968289418144394</v>
      </c>
      <c r="AP38" s="88">
        <f t="shared" si="106"/>
        <v>0.14510358259095965</v>
      </c>
      <c r="AQ38" s="86">
        <f t="shared" si="139"/>
        <v>2042</v>
      </c>
      <c r="AR38" s="102">
        <f t="shared" si="140"/>
        <v>183.77143247155288</v>
      </c>
      <c r="AS38" s="102">
        <f t="shared" si="140"/>
        <v>161.26880808728109</v>
      </c>
      <c r="AT38" s="102">
        <f t="shared" si="140"/>
        <v>146.26705849776664</v>
      </c>
      <c r="AU38" s="102">
        <f t="shared" si="140"/>
        <v>131.26530890825177</v>
      </c>
      <c r="AW38" s="86">
        <f t="shared" si="110"/>
        <v>773.71953631379142</v>
      </c>
      <c r="AX38" s="86">
        <f t="shared" ref="AX38:AZ38" si="151">AW38</f>
        <v>773.71953631379142</v>
      </c>
      <c r="AY38" s="86">
        <f t="shared" si="151"/>
        <v>773.71953631379142</v>
      </c>
      <c r="AZ38" s="86">
        <f t="shared" si="151"/>
        <v>773.71953631379142</v>
      </c>
      <c r="BB38" s="152">
        <f t="shared" si="138"/>
        <v>773.71953631379142</v>
      </c>
    </row>
    <row r="39" spans="2:54" x14ac:dyDescent="0.35">
      <c r="B39">
        <v>2043</v>
      </c>
      <c r="C39" s="86">
        <v>27045.999999999996</v>
      </c>
      <c r="D39" s="86">
        <v>6905.4999999999936</v>
      </c>
      <c r="E39" s="86">
        <v>6059.8999999999905</v>
      </c>
      <c r="F39" s="86">
        <v>5496.3999999999987</v>
      </c>
      <c r="G39" s="86">
        <v>4932.5499999999956</v>
      </c>
      <c r="H39" s="86">
        <f t="shared" si="78"/>
        <v>2043</v>
      </c>
      <c r="I39" s="86">
        <f t="shared" si="113"/>
        <v>26326.721322169862</v>
      </c>
      <c r="J39" s="86">
        <f t="shared" si="114"/>
        <v>6721.8507021461155</v>
      </c>
      <c r="K39" s="86">
        <f t="shared" si="93"/>
        <v>5898.7391311179817</v>
      </c>
      <c r="L39" s="86">
        <f t="shared" si="94"/>
        <v>5350.2252116828522</v>
      </c>
      <c r="M39" s="86">
        <f t="shared" si="95"/>
        <v>4801.3706003722864</v>
      </c>
      <c r="N39">
        <f t="shared" si="96"/>
        <v>2043</v>
      </c>
      <c r="O39" s="3">
        <f t="shared" si="97"/>
        <v>0.67168305463968114</v>
      </c>
      <c r="P39" s="3">
        <f t="shared" si="80"/>
        <v>0.17149698047083911</v>
      </c>
      <c r="Q39" s="3">
        <f t="shared" si="81"/>
        <v>0.15049664064227605</v>
      </c>
      <c r="R39" s="3">
        <f t="shared" si="82"/>
        <v>0.13650220888565937</v>
      </c>
      <c r="S39" s="3">
        <f t="shared" si="83"/>
        <v>0.12249908493540475</v>
      </c>
      <c r="U39">
        <f t="shared" si="84"/>
        <v>2043</v>
      </c>
      <c r="V39" s="86">
        <f t="shared" si="115"/>
        <v>26326.721322169862</v>
      </c>
      <c r="W39" s="86">
        <f t="shared" si="85"/>
        <v>6721.8507021461155</v>
      </c>
      <c r="X39" s="86">
        <f t="shared" si="86"/>
        <v>5898.7391311179817</v>
      </c>
      <c r="Y39" s="86">
        <f t="shared" si="87"/>
        <v>5350.2252116828522</v>
      </c>
      <c r="Z39" s="86">
        <f t="shared" si="88"/>
        <v>4801.3706003722864</v>
      </c>
      <c r="AB39" s="102">
        <f>'F-Gases'!C62</f>
        <v>160.80000341260893</v>
      </c>
      <c r="AC39" s="86">
        <f t="shared" si="150"/>
        <v>4983.3002683451787</v>
      </c>
      <c r="AE39">
        <f t="shared" si="98"/>
        <v>2043</v>
      </c>
      <c r="AF39" s="86">
        <f t="shared" si="119"/>
        <v>31470.821593927649</v>
      </c>
      <c r="AG39" s="86">
        <f t="shared" si="116"/>
        <v>7559.6552998332918</v>
      </c>
      <c r="AH39" s="86">
        <f t="shared" si="99"/>
        <v>6716.85393246892</v>
      </c>
      <c r="AI39" s="86">
        <f t="shared" si="100"/>
        <v>6155.2134821429654</v>
      </c>
      <c r="AJ39" s="86">
        <f t="shared" si="101"/>
        <v>5593.2323399415736</v>
      </c>
      <c r="AL39" s="88">
        <f t="shared" si="102"/>
        <v>0.71438349016565139</v>
      </c>
      <c r="AM39" s="88">
        <f t="shared" si="103"/>
        <v>0.17160317602214128</v>
      </c>
      <c r="AN39" s="88">
        <f t="shared" si="104"/>
        <v>0.15247169638989944</v>
      </c>
      <c r="AO39" s="88">
        <f t="shared" si="105"/>
        <v>0.13972253240876331</v>
      </c>
      <c r="AP39" s="88">
        <f t="shared" si="106"/>
        <v>0.12696563476708961</v>
      </c>
      <c r="AQ39" s="86">
        <f t="shared" si="139"/>
        <v>2043</v>
      </c>
      <c r="AR39" s="102">
        <f t="shared" si="140"/>
        <v>160.80000341260879</v>
      </c>
      <c r="AS39" s="102">
        <f t="shared" si="140"/>
        <v>141.11020707637095</v>
      </c>
      <c r="AT39" s="102">
        <f t="shared" si="140"/>
        <v>127.98367618554583</v>
      </c>
      <c r="AU39" s="102">
        <f t="shared" si="140"/>
        <v>114.8571452947203</v>
      </c>
      <c r="AW39" s="86">
        <f t="shared" si="110"/>
        <v>677.00459427456735</v>
      </c>
      <c r="AX39" s="86">
        <f t="shared" ref="AX39:AZ39" si="152">AW39</f>
        <v>677.00459427456735</v>
      </c>
      <c r="AY39" s="86">
        <f t="shared" si="152"/>
        <v>677.00459427456735</v>
      </c>
      <c r="AZ39" s="86">
        <f t="shared" si="152"/>
        <v>677.00459427456735</v>
      </c>
      <c r="BB39" s="152">
        <f t="shared" si="138"/>
        <v>677.00459427456735</v>
      </c>
    </row>
    <row r="40" spans="2:54" x14ac:dyDescent="0.35">
      <c r="B40">
        <v>2044</v>
      </c>
      <c r="C40" s="86">
        <v>27046.000000000018</v>
      </c>
      <c r="D40" s="86">
        <v>5919.0000000000018</v>
      </c>
      <c r="E40" s="86">
        <v>5194.1999999999935</v>
      </c>
      <c r="F40" s="86">
        <v>4711.1999999999944</v>
      </c>
      <c r="G40" s="86">
        <v>4227.9000000000087</v>
      </c>
      <c r="H40" s="86">
        <f t="shared" si="78"/>
        <v>2044</v>
      </c>
      <c r="I40" s="86">
        <f t="shared" si="113"/>
        <v>26326.721322169884</v>
      </c>
      <c r="J40" s="86">
        <f t="shared" si="114"/>
        <v>5761.5863161252491</v>
      </c>
      <c r="K40" s="86">
        <f t="shared" si="93"/>
        <v>5056.0621123868423</v>
      </c>
      <c r="L40" s="86">
        <f t="shared" si="94"/>
        <v>4585.9073242995828</v>
      </c>
      <c r="M40" s="86">
        <f t="shared" si="95"/>
        <v>4115.4605146048289</v>
      </c>
      <c r="N40">
        <f t="shared" si="96"/>
        <v>2044</v>
      </c>
      <c r="O40" s="3">
        <f t="shared" si="97"/>
        <v>0.6716830546396817</v>
      </c>
      <c r="P40" s="3">
        <f t="shared" si="80"/>
        <v>0.14699741183214798</v>
      </c>
      <c r="Q40" s="3">
        <f t="shared" si="81"/>
        <v>0.12899712055052237</v>
      </c>
      <c r="R40" s="3">
        <f t="shared" si="82"/>
        <v>0.11700189333056504</v>
      </c>
      <c r="S40" s="3">
        <f t="shared" si="83"/>
        <v>0.10499921565891866</v>
      </c>
      <c r="U40">
        <f t="shared" si="84"/>
        <v>2044</v>
      </c>
      <c r="V40" s="86">
        <f t="shared" si="115"/>
        <v>26326.721322169884</v>
      </c>
      <c r="W40" s="86">
        <f t="shared" si="85"/>
        <v>5761.5863161252491</v>
      </c>
      <c r="X40" s="86">
        <f t="shared" si="86"/>
        <v>5056.0621123868423</v>
      </c>
      <c r="Y40" s="86">
        <f t="shared" si="87"/>
        <v>4585.9073242995828</v>
      </c>
      <c r="Z40" s="86">
        <f t="shared" si="88"/>
        <v>4115.4605146048289</v>
      </c>
      <c r="AB40" s="102">
        <f>'F-Gases'!C63</f>
        <v>137.82857435366486</v>
      </c>
      <c r="AC40" s="86">
        <f t="shared" si="150"/>
        <v>4271.4002300101529</v>
      </c>
      <c r="AE40">
        <f t="shared" si="98"/>
        <v>2044</v>
      </c>
      <c r="AF40" s="86">
        <f t="shared" si="119"/>
        <v>30735.950126533702</v>
      </c>
      <c r="AG40" s="86">
        <f t="shared" si="116"/>
        <v>6479.7045427142566</v>
      </c>
      <c r="AH40" s="86">
        <f t="shared" si="99"/>
        <v>5757.3033706876458</v>
      </c>
      <c r="AI40" s="86">
        <f t="shared" si="100"/>
        <v>5275.8972704082507</v>
      </c>
      <c r="AJ40" s="86">
        <f t="shared" si="101"/>
        <v>4794.1991485213612</v>
      </c>
      <c r="AL40" s="88">
        <f t="shared" si="102"/>
        <v>0.69770200499586676</v>
      </c>
      <c r="AM40" s="88">
        <f t="shared" si="103"/>
        <v>0.14708843659040696</v>
      </c>
      <c r="AN40" s="88">
        <f t="shared" si="104"/>
        <v>0.13069002547705666</v>
      </c>
      <c r="AO40" s="88">
        <f t="shared" si="105"/>
        <v>0.11976217063608272</v>
      </c>
      <c r="AP40" s="88">
        <f t="shared" si="106"/>
        <v>0.10882768694321994</v>
      </c>
      <c r="AQ40" s="86">
        <f t="shared" si="139"/>
        <v>2044</v>
      </c>
      <c r="AR40" s="102">
        <f t="shared" si="140"/>
        <v>137.82857435366469</v>
      </c>
      <c r="AS40" s="102">
        <f t="shared" si="140"/>
        <v>120.95160606546082</v>
      </c>
      <c r="AT40" s="102">
        <f t="shared" si="140"/>
        <v>109.70029387332502</v>
      </c>
      <c r="AU40" s="102">
        <f t="shared" si="140"/>
        <v>98.448981681188826</v>
      </c>
      <c r="AW40" s="86">
        <f t="shared" si="110"/>
        <v>580.28965223534328</v>
      </c>
      <c r="AX40" s="86">
        <f t="shared" ref="AX40:AZ40" si="153">AW40</f>
        <v>580.28965223534328</v>
      </c>
      <c r="AY40" s="86">
        <f t="shared" si="153"/>
        <v>580.28965223534328</v>
      </c>
      <c r="AZ40" s="86">
        <f t="shared" si="153"/>
        <v>580.28965223534328</v>
      </c>
      <c r="BB40" s="152">
        <f t="shared" si="138"/>
        <v>580.28965223534328</v>
      </c>
    </row>
    <row r="41" spans="2:54" x14ac:dyDescent="0.35">
      <c r="B41">
        <v>2045</v>
      </c>
      <c r="C41" s="86">
        <v>27046.000000000007</v>
      </c>
      <c r="D41" s="86">
        <v>4932.4999999999945</v>
      </c>
      <c r="E41" s="86">
        <v>4328.4999999999964</v>
      </c>
      <c r="F41" s="86">
        <v>3926.0000000000073</v>
      </c>
      <c r="G41" s="86">
        <v>3523.2500000000018</v>
      </c>
      <c r="H41" s="86">
        <f t="shared" si="78"/>
        <v>2045</v>
      </c>
      <c r="I41" s="86">
        <f t="shared" si="113"/>
        <v>26326.721322169873</v>
      </c>
      <c r="J41" s="86">
        <f t="shared" si="114"/>
        <v>4801.3219301043673</v>
      </c>
      <c r="K41" s="86">
        <f t="shared" si="93"/>
        <v>4213.3850936557037</v>
      </c>
      <c r="L41" s="86">
        <f t="shared" si="94"/>
        <v>3821.5894369163311</v>
      </c>
      <c r="M41" s="86">
        <f t="shared" si="95"/>
        <v>3429.5504288373522</v>
      </c>
      <c r="N41">
        <f t="shared" si="96"/>
        <v>2045</v>
      </c>
      <c r="O41" s="3">
        <f t="shared" si="97"/>
        <v>0.67168305463968137</v>
      </c>
      <c r="P41" s="3">
        <f t="shared" si="80"/>
        <v>0.12249784319345648</v>
      </c>
      <c r="Q41" s="3">
        <f t="shared" si="81"/>
        <v>0.10749760045876867</v>
      </c>
      <c r="R41" s="3">
        <f t="shared" si="82"/>
        <v>9.7501577775471179E-2</v>
      </c>
      <c r="S41" s="3">
        <f t="shared" si="83"/>
        <v>8.7499346382432078E-2</v>
      </c>
      <c r="U41">
        <f t="shared" si="84"/>
        <v>2045</v>
      </c>
      <c r="V41" s="86">
        <f t="shared" si="115"/>
        <v>26326.721322169873</v>
      </c>
      <c r="W41" s="86">
        <f t="shared" si="85"/>
        <v>4801.3219301043673</v>
      </c>
      <c r="X41" s="86">
        <f t="shared" si="86"/>
        <v>4213.3850936557037</v>
      </c>
      <c r="Y41" s="86">
        <f t="shared" si="87"/>
        <v>3821.5894369163311</v>
      </c>
      <c r="Z41" s="86">
        <f t="shared" si="88"/>
        <v>3429.5504288373522</v>
      </c>
      <c r="AB41" s="102">
        <f>'F-Gases'!C64</f>
        <v>114.85714529472079</v>
      </c>
      <c r="AC41" s="86">
        <f t="shared" si="150"/>
        <v>3559.5001916751271</v>
      </c>
      <c r="AE41">
        <f t="shared" si="98"/>
        <v>2045</v>
      </c>
      <c r="AF41" s="86">
        <f t="shared" si="119"/>
        <v>30001.078659139723</v>
      </c>
      <c r="AG41" s="86">
        <f t="shared" si="116"/>
        <v>5399.7537855952078</v>
      </c>
      <c r="AH41" s="86">
        <f t="shared" si="99"/>
        <v>4797.7528089063744</v>
      </c>
      <c r="AI41" s="86">
        <f t="shared" si="100"/>
        <v>4396.5810586735552</v>
      </c>
      <c r="AJ41" s="86">
        <f t="shared" si="101"/>
        <v>3995.1659571011287</v>
      </c>
      <c r="AL41" s="88">
        <f t="shared" si="102"/>
        <v>0.68102051982608147</v>
      </c>
      <c r="AM41" s="88">
        <f t="shared" si="103"/>
        <v>0.12257369715867232</v>
      </c>
      <c r="AN41" s="88">
        <f t="shared" si="104"/>
        <v>0.10890835456421395</v>
      </c>
      <c r="AO41" s="88">
        <f t="shared" si="105"/>
        <v>9.980180886340255E-2</v>
      </c>
      <c r="AP41" s="88">
        <f t="shared" si="106"/>
        <v>9.0689739119349827E-2</v>
      </c>
      <c r="AQ41" s="86">
        <f t="shared" si="139"/>
        <v>2045</v>
      </c>
      <c r="AR41" s="102">
        <f t="shared" si="140"/>
        <v>114.8571452947206</v>
      </c>
      <c r="AS41" s="102">
        <f t="shared" si="140"/>
        <v>100.79300505455069</v>
      </c>
      <c r="AT41" s="102">
        <f t="shared" si="140"/>
        <v>91.416911561104214</v>
      </c>
      <c r="AU41" s="102">
        <f t="shared" si="140"/>
        <v>82.040818067657355</v>
      </c>
      <c r="AW41" s="86">
        <f t="shared" si="110"/>
        <v>483.57471019611927</v>
      </c>
      <c r="AX41" s="86">
        <f t="shared" ref="AX41:AZ41" si="154">AW41</f>
        <v>483.57471019611927</v>
      </c>
      <c r="AY41" s="86">
        <f t="shared" si="154"/>
        <v>483.57471019611927</v>
      </c>
      <c r="AZ41" s="86">
        <f t="shared" si="154"/>
        <v>483.57471019611927</v>
      </c>
      <c r="BB41" s="152">
        <f t="shared" si="138"/>
        <v>483.57471019611927</v>
      </c>
    </row>
    <row r="42" spans="2:54" x14ac:dyDescent="0.35">
      <c r="B42">
        <v>2046</v>
      </c>
      <c r="C42" s="86">
        <v>27045.999999999985</v>
      </c>
      <c r="D42" s="86">
        <v>3946.0000000000082</v>
      </c>
      <c r="E42" s="86">
        <v>3462.8000000000038</v>
      </c>
      <c r="F42" s="86">
        <v>3140.7999999999952</v>
      </c>
      <c r="G42" s="86">
        <v>2818.5999999999945</v>
      </c>
      <c r="H42" s="86">
        <f t="shared" si="78"/>
        <v>2046</v>
      </c>
      <c r="I42" s="86">
        <f t="shared" si="113"/>
        <v>26326.721322169851</v>
      </c>
      <c r="J42" s="86">
        <f t="shared" si="114"/>
        <v>3841.0575440835059</v>
      </c>
      <c r="K42" s="86">
        <f t="shared" si="93"/>
        <v>3370.7080749245697</v>
      </c>
      <c r="L42" s="86">
        <f t="shared" si="94"/>
        <v>3057.2715495330544</v>
      </c>
      <c r="M42" s="86">
        <f t="shared" si="95"/>
        <v>2743.6403430698751</v>
      </c>
      <c r="N42">
        <f t="shared" si="96"/>
        <v>2046</v>
      </c>
      <c r="O42" s="3">
        <f t="shared" si="97"/>
        <v>0.67168305463968081</v>
      </c>
      <c r="P42" s="3">
        <f t="shared" si="80"/>
        <v>9.7998274554765494E-2</v>
      </c>
      <c r="Q42" s="3">
        <f t="shared" si="81"/>
        <v>8.5998080367015103E-2</v>
      </c>
      <c r="R42" s="3">
        <f t="shared" si="82"/>
        <v>7.8001262220376677E-2</v>
      </c>
      <c r="S42" s="3">
        <f t="shared" si="83"/>
        <v>6.9999477105945493E-2</v>
      </c>
      <c r="U42">
        <f t="shared" si="84"/>
        <v>2046</v>
      </c>
      <c r="V42" s="86">
        <f t="shared" si="115"/>
        <v>26326.721322169851</v>
      </c>
      <c r="W42" s="86">
        <f t="shared" si="85"/>
        <v>3841.0575440835059</v>
      </c>
      <c r="X42" s="86">
        <f t="shared" si="86"/>
        <v>3370.7080749245697</v>
      </c>
      <c r="Y42" s="86">
        <f t="shared" si="87"/>
        <v>3057.2715495330544</v>
      </c>
      <c r="Z42" s="86">
        <f t="shared" si="88"/>
        <v>2743.6403430698751</v>
      </c>
      <c r="AB42" s="102">
        <f>'F-Gases'!C65</f>
        <v>91.885716235776727</v>
      </c>
      <c r="AC42" s="86">
        <f t="shared" si="150"/>
        <v>2847.6001533401013</v>
      </c>
      <c r="AE42">
        <f t="shared" si="98"/>
        <v>2046</v>
      </c>
      <c r="AF42" s="86">
        <f t="shared" si="119"/>
        <v>29266.207191745729</v>
      </c>
      <c r="AG42" s="86">
        <f t="shared" si="116"/>
        <v>4319.803028476178</v>
      </c>
      <c r="AH42" s="86">
        <f t="shared" si="99"/>
        <v>3838.2022471251057</v>
      </c>
      <c r="AI42" s="86">
        <f t="shared" si="100"/>
        <v>3517.2648469388332</v>
      </c>
      <c r="AJ42" s="86">
        <f t="shared" si="101"/>
        <v>3196.1327656808962</v>
      </c>
      <c r="AL42" s="88">
        <f t="shared" si="102"/>
        <v>0.66433903465629573</v>
      </c>
      <c r="AM42" s="88">
        <f t="shared" si="103"/>
        <v>9.8058957726938123E-2</v>
      </c>
      <c r="AN42" s="88">
        <f t="shared" si="104"/>
        <v>8.7126683651371301E-2</v>
      </c>
      <c r="AO42" s="88">
        <f t="shared" si="105"/>
        <v>7.9841447090721801E-2</v>
      </c>
      <c r="AP42" s="88">
        <f t="shared" si="106"/>
        <v>7.2551791295479701E-2</v>
      </c>
      <c r="AQ42" s="86">
        <f t="shared" si="139"/>
        <v>2046</v>
      </c>
      <c r="AR42" s="102">
        <f t="shared" si="140"/>
        <v>91.885716235776499</v>
      </c>
      <c r="AS42" s="102">
        <f t="shared" si="140"/>
        <v>80.634404043640558</v>
      </c>
      <c r="AT42" s="102">
        <f t="shared" si="140"/>
        <v>73.133529248883406</v>
      </c>
      <c r="AU42" s="102">
        <f t="shared" si="140"/>
        <v>65.632654454125884</v>
      </c>
      <c r="AW42" s="86">
        <f t="shared" si="110"/>
        <v>386.85976815689526</v>
      </c>
      <c r="AX42" s="86">
        <f t="shared" ref="AX42:AZ42" si="155">AW42</f>
        <v>386.85976815689526</v>
      </c>
      <c r="AY42" s="86">
        <f t="shared" si="155"/>
        <v>386.85976815689526</v>
      </c>
      <c r="AZ42" s="86">
        <f t="shared" si="155"/>
        <v>386.85976815689526</v>
      </c>
      <c r="BB42" s="152">
        <f t="shared" si="138"/>
        <v>386.85976815689526</v>
      </c>
    </row>
    <row r="43" spans="2:54" x14ac:dyDescent="0.35">
      <c r="B43">
        <v>2047</v>
      </c>
      <c r="C43" s="86">
        <v>27046.000000000004</v>
      </c>
      <c r="D43" s="86">
        <v>2959.5000000000045</v>
      </c>
      <c r="E43" s="86">
        <v>2597.0999999999922</v>
      </c>
      <c r="F43" s="86">
        <v>2355.5999999999995</v>
      </c>
      <c r="G43" s="86">
        <v>2113.9500000000089</v>
      </c>
      <c r="H43" s="86">
        <f t="shared" si="78"/>
        <v>2047</v>
      </c>
      <c r="I43" s="86">
        <f t="shared" si="113"/>
        <v>26326.721322169869</v>
      </c>
      <c r="J43" s="86">
        <f t="shared" si="114"/>
        <v>2880.7931580626282</v>
      </c>
      <c r="K43" s="86">
        <f t="shared" si="93"/>
        <v>2528.031056193417</v>
      </c>
      <c r="L43" s="86">
        <f t="shared" si="94"/>
        <v>2292.9536621497937</v>
      </c>
      <c r="M43" s="86">
        <f t="shared" si="95"/>
        <v>2057.730257302419</v>
      </c>
      <c r="N43">
        <f t="shared" si="96"/>
        <v>2047</v>
      </c>
      <c r="O43" s="3">
        <f t="shared" si="97"/>
        <v>0.67168305463968125</v>
      </c>
      <c r="P43" s="3">
        <f t="shared" si="80"/>
        <v>7.3498705916074075E-2</v>
      </c>
      <c r="Q43" s="3">
        <f t="shared" si="81"/>
        <v>6.449856027526106E-2</v>
      </c>
      <c r="R43" s="3">
        <f t="shared" si="82"/>
        <v>5.8500946665282584E-2</v>
      </c>
      <c r="S43" s="3">
        <f t="shared" si="83"/>
        <v>5.2499607829459442E-2</v>
      </c>
      <c r="U43">
        <f t="shared" si="84"/>
        <v>2047</v>
      </c>
      <c r="V43" s="86">
        <f t="shared" si="115"/>
        <v>26326.721322169869</v>
      </c>
      <c r="W43" s="86">
        <f t="shared" si="85"/>
        <v>2880.7931580626282</v>
      </c>
      <c r="X43" s="86">
        <f t="shared" si="86"/>
        <v>2528.031056193417</v>
      </c>
      <c r="Y43" s="86">
        <f t="shared" si="87"/>
        <v>2292.9536621497937</v>
      </c>
      <c r="Z43" s="86">
        <f t="shared" si="88"/>
        <v>2057.730257302419</v>
      </c>
      <c r="AB43" s="102">
        <f>'F-Gases'!C66</f>
        <v>68.914287176832659</v>
      </c>
      <c r="AC43" s="86">
        <f t="shared" si="150"/>
        <v>2135.7001150050755</v>
      </c>
      <c r="AE43">
        <f t="shared" si="98"/>
        <v>2047</v>
      </c>
      <c r="AF43" s="86">
        <f t="shared" si="119"/>
        <v>28531.335724351778</v>
      </c>
      <c r="AG43" s="86">
        <f t="shared" si="116"/>
        <v>3239.8522713571315</v>
      </c>
      <c r="AH43" s="86">
        <f t="shared" si="99"/>
        <v>2878.6516853438184</v>
      </c>
      <c r="AI43" s="86">
        <f t="shared" si="100"/>
        <v>2637.9486352041272</v>
      </c>
      <c r="AJ43" s="86">
        <f t="shared" si="101"/>
        <v>2397.0995742606847</v>
      </c>
      <c r="AL43" s="88">
        <f t="shared" si="102"/>
        <v>0.64765754948651111</v>
      </c>
      <c r="AM43" s="88">
        <f t="shared" si="103"/>
        <v>7.3544218295203551E-2</v>
      </c>
      <c r="AN43" s="88">
        <f t="shared" si="104"/>
        <v>6.5345012738528233E-2</v>
      </c>
      <c r="AO43" s="88">
        <f t="shared" si="105"/>
        <v>5.9881085318041399E-2</v>
      </c>
      <c r="AP43" s="88">
        <f t="shared" si="106"/>
        <v>5.4413843471610067E-2</v>
      </c>
      <c r="AQ43" s="86">
        <f t="shared" si="139"/>
        <v>2047</v>
      </c>
      <c r="AR43" s="102">
        <f t="shared" si="140"/>
        <v>68.914287176832403</v>
      </c>
      <c r="AS43" s="102">
        <f t="shared" si="140"/>
        <v>60.475803032730433</v>
      </c>
      <c r="AT43" s="102">
        <f t="shared" si="140"/>
        <v>54.850146936662597</v>
      </c>
      <c r="AU43" s="102">
        <f t="shared" si="140"/>
        <v>49.224490840594413</v>
      </c>
      <c r="AW43" s="86">
        <f t="shared" si="110"/>
        <v>290.14482611767124</v>
      </c>
      <c r="AX43" s="86">
        <f t="shared" ref="AX43:AZ43" si="156">AW43</f>
        <v>290.14482611767124</v>
      </c>
      <c r="AY43" s="86">
        <f t="shared" si="156"/>
        <v>290.14482611767124</v>
      </c>
      <c r="AZ43" s="86">
        <f t="shared" si="156"/>
        <v>290.14482611767124</v>
      </c>
      <c r="BB43" s="152">
        <f t="shared" si="138"/>
        <v>290.14482611767124</v>
      </c>
    </row>
    <row r="44" spans="2:54" x14ac:dyDescent="0.35">
      <c r="B44">
        <v>2048</v>
      </c>
      <c r="C44" s="86">
        <v>27045.999999999985</v>
      </c>
      <c r="D44" s="86">
        <v>1972.9999999999902</v>
      </c>
      <c r="E44" s="86">
        <v>1731.3999999999967</v>
      </c>
      <c r="F44" s="86">
        <v>1570.3999999999958</v>
      </c>
      <c r="G44" s="86">
        <v>1409.2999999999956</v>
      </c>
      <c r="H44" s="86">
        <f t="shared" si="78"/>
        <v>2048</v>
      </c>
      <c r="I44" s="86">
        <f t="shared" si="113"/>
        <v>26326.721322169851</v>
      </c>
      <c r="J44" s="86">
        <f t="shared" si="114"/>
        <v>1920.5287720417396</v>
      </c>
      <c r="K44" s="86">
        <f t="shared" si="93"/>
        <v>1685.3540374622798</v>
      </c>
      <c r="L44" s="86">
        <f t="shared" si="94"/>
        <v>1528.6357747665254</v>
      </c>
      <c r="M44" s="86">
        <f t="shared" si="95"/>
        <v>1371.820171534936</v>
      </c>
      <c r="N44">
        <f t="shared" si="96"/>
        <v>2048</v>
      </c>
      <c r="O44" s="3">
        <f t="shared" si="97"/>
        <v>0.67168305463968081</v>
      </c>
      <c r="P44" s="3">
        <f t="shared" si="80"/>
        <v>4.89991372773824E-2</v>
      </c>
      <c r="Q44" s="3">
        <f t="shared" si="81"/>
        <v>4.2999040183507427E-2</v>
      </c>
      <c r="R44" s="3">
        <f t="shared" si="82"/>
        <v>3.900063111018829E-2</v>
      </c>
      <c r="S44" s="3">
        <f t="shared" si="83"/>
        <v>3.4999738552972705E-2</v>
      </c>
      <c r="U44">
        <f t="shared" si="84"/>
        <v>2048</v>
      </c>
      <c r="V44" s="86">
        <f t="shared" si="115"/>
        <v>26326.721322169851</v>
      </c>
      <c r="W44" s="86">
        <f t="shared" si="85"/>
        <v>1920.5287720417396</v>
      </c>
      <c r="X44" s="86">
        <f t="shared" si="86"/>
        <v>1685.3540374622798</v>
      </c>
      <c r="Y44" s="86">
        <f t="shared" si="87"/>
        <v>1528.6357747665254</v>
      </c>
      <c r="Z44" s="86">
        <f t="shared" si="88"/>
        <v>1371.820171534936</v>
      </c>
      <c r="AB44" s="102">
        <f>'F-Gases'!C67</f>
        <v>45.942858117888584</v>
      </c>
      <c r="AC44" s="86">
        <f t="shared" si="150"/>
        <v>1423.80007667005</v>
      </c>
      <c r="AE44">
        <f t="shared" si="98"/>
        <v>2048</v>
      </c>
      <c r="AF44" s="86">
        <f t="shared" si="119"/>
        <v>27796.464256957788</v>
      </c>
      <c r="AG44" s="86">
        <f t="shared" si="116"/>
        <v>2159.9015142380749</v>
      </c>
      <c r="AH44" s="86">
        <f t="shared" si="99"/>
        <v>1919.1011235625474</v>
      </c>
      <c r="AI44" s="86">
        <f t="shared" si="100"/>
        <v>1758.6324234694143</v>
      </c>
      <c r="AJ44" s="86">
        <f t="shared" si="101"/>
        <v>1598.0663828404461</v>
      </c>
      <c r="AL44" s="88">
        <f t="shared" si="102"/>
        <v>0.63097606431672548</v>
      </c>
      <c r="AM44" s="88">
        <f t="shared" si="103"/>
        <v>4.9029478863468742E-2</v>
      </c>
      <c r="AN44" s="88">
        <f t="shared" si="104"/>
        <v>4.3563341825685525E-2</v>
      </c>
      <c r="AO44" s="88">
        <f t="shared" si="105"/>
        <v>3.9920723545360845E-2</v>
      </c>
      <c r="AP44" s="88">
        <f t="shared" si="106"/>
        <v>3.6275895647739809E-2</v>
      </c>
      <c r="AQ44" s="86">
        <f t="shared" si="139"/>
        <v>2048</v>
      </c>
      <c r="AR44" s="102">
        <f t="shared" si="140"/>
        <v>45.942858117888314</v>
      </c>
      <c r="AS44" s="102">
        <f t="shared" si="140"/>
        <v>40.317202021820307</v>
      </c>
      <c r="AT44" s="102">
        <f t="shared" si="140"/>
        <v>36.566764624441788</v>
      </c>
      <c r="AU44" s="102">
        <f t="shared" si="140"/>
        <v>32.816327227062942</v>
      </c>
      <c r="AW44" s="86">
        <f t="shared" si="110"/>
        <v>193.42988407844723</v>
      </c>
      <c r="AX44" s="86">
        <f t="shared" ref="AX44:AZ44" si="157">AW44</f>
        <v>193.42988407844723</v>
      </c>
      <c r="AY44" s="86">
        <f t="shared" si="157"/>
        <v>193.42988407844723</v>
      </c>
      <c r="AZ44" s="86">
        <f t="shared" si="157"/>
        <v>193.42988407844723</v>
      </c>
      <c r="BB44" s="152">
        <f t="shared" si="138"/>
        <v>193.42988407844723</v>
      </c>
    </row>
    <row r="45" spans="2:54" x14ac:dyDescent="0.35">
      <c r="B45">
        <v>2049</v>
      </c>
      <c r="C45" s="86">
        <v>26141.493701225154</v>
      </c>
      <c r="D45" s="86">
        <v>986.49999999999181</v>
      </c>
      <c r="E45" s="86">
        <v>865.70000000000141</v>
      </c>
      <c r="F45" s="86">
        <v>785.2</v>
      </c>
      <c r="G45" s="86">
        <v>704.64999999999975</v>
      </c>
      <c r="H45" s="86">
        <f t="shared" si="78"/>
        <v>2049</v>
      </c>
      <c r="I45" s="86">
        <f t="shared" si="113"/>
        <v>25446.27004427322</v>
      </c>
      <c r="J45" s="86">
        <f t="shared" si="114"/>
        <v>960.2643860208666</v>
      </c>
      <c r="K45" s="86">
        <f t="shared" si="93"/>
        <v>842.67701873114288</v>
      </c>
      <c r="L45" s="86">
        <f t="shared" si="94"/>
        <v>764.31788738326486</v>
      </c>
      <c r="M45" s="86">
        <f t="shared" si="95"/>
        <v>685.91008576746981</v>
      </c>
      <c r="N45">
        <f t="shared" si="96"/>
        <v>2049</v>
      </c>
      <c r="O45" s="3">
        <f t="shared" si="97"/>
        <v>0.64921978636703759</v>
      </c>
      <c r="P45" s="3">
        <f t="shared" si="80"/>
        <v>2.449956863869112E-2</v>
      </c>
      <c r="Q45" s="3">
        <f t="shared" si="81"/>
        <v>2.149952009175379E-2</v>
      </c>
      <c r="R45" s="3">
        <f t="shared" si="82"/>
        <v>1.95003155550942E-2</v>
      </c>
      <c r="S45" s="3">
        <f t="shared" si="83"/>
        <v>1.7499869276486401E-2</v>
      </c>
      <c r="U45">
        <f t="shared" si="84"/>
        <v>2049</v>
      </c>
      <c r="V45" s="86">
        <f t="shared" si="115"/>
        <v>25446.27004427322</v>
      </c>
      <c r="W45" s="86">
        <f t="shared" si="85"/>
        <v>960.2643860208666</v>
      </c>
      <c r="X45" s="86">
        <f t="shared" si="86"/>
        <v>842.67701873114288</v>
      </c>
      <c r="Y45" s="86">
        <f t="shared" si="87"/>
        <v>764.31788738326486</v>
      </c>
      <c r="Z45" s="86">
        <f t="shared" si="88"/>
        <v>685.91008576746981</v>
      </c>
      <c r="AB45" s="102">
        <f>'F-Gases'!C68</f>
        <v>22.971429058944508</v>
      </c>
      <c r="AC45" s="86">
        <f t="shared" si="150"/>
        <v>711.90003833502442</v>
      </c>
      <c r="AE45">
        <f t="shared" si="98"/>
        <v>2049</v>
      </c>
      <c r="AF45" s="86">
        <f t="shared" si="119"/>
        <v>26181.141511667189</v>
      </c>
      <c r="AG45" s="86">
        <f t="shared" si="116"/>
        <v>1079.9507571190341</v>
      </c>
      <c r="AH45" s="86">
        <f t="shared" si="99"/>
        <v>959.5505617812762</v>
      </c>
      <c r="AI45" s="86">
        <f t="shared" si="100"/>
        <v>879.31621173470899</v>
      </c>
      <c r="AJ45" s="86">
        <f t="shared" si="101"/>
        <v>799.03319142022451</v>
      </c>
      <c r="AL45" s="88">
        <f t="shared" si="102"/>
        <v>0.59430845152242462</v>
      </c>
      <c r="AM45" s="88">
        <f t="shared" si="103"/>
        <v>2.4514739431734295E-2</v>
      </c>
      <c r="AN45" s="88">
        <f t="shared" si="104"/>
        <v>2.1781670912842822E-2</v>
      </c>
      <c r="AO45" s="88">
        <f t="shared" si="105"/>
        <v>1.9960361772680464E-2</v>
      </c>
      <c r="AP45" s="88">
        <f t="shared" si="106"/>
        <v>1.8137947823869936E-2</v>
      </c>
      <c r="AQ45" s="86">
        <f t="shared" si="139"/>
        <v>2049</v>
      </c>
      <c r="AR45" s="102">
        <f t="shared" si="140"/>
        <v>22.971429058944224</v>
      </c>
      <c r="AS45" s="102">
        <f t="shared" si="140"/>
        <v>20.158601010910182</v>
      </c>
      <c r="AT45" s="102">
        <f t="shared" si="140"/>
        <v>18.283382312220979</v>
      </c>
      <c r="AU45" s="102">
        <f t="shared" si="140"/>
        <v>16.408163613531475</v>
      </c>
      <c r="AW45" s="86">
        <f t="shared" si="110"/>
        <v>96.714942039223217</v>
      </c>
      <c r="AX45" s="86">
        <f t="shared" ref="AX45:AZ45" si="158">AW45</f>
        <v>96.714942039223217</v>
      </c>
      <c r="AY45" s="86">
        <f t="shared" si="158"/>
        <v>96.714942039223217</v>
      </c>
      <c r="AZ45" s="86">
        <f t="shared" si="158"/>
        <v>96.714942039223217</v>
      </c>
      <c r="BB45" s="152">
        <f t="shared" si="138"/>
        <v>96.714942039223217</v>
      </c>
    </row>
    <row r="46" spans="2:54" x14ac:dyDescent="0.35">
      <c r="B46">
        <v>2050</v>
      </c>
      <c r="C46" s="86">
        <v>25779.431940663897</v>
      </c>
      <c r="D46" s="86">
        <v>3.637978807091713E-12</v>
      </c>
      <c r="E46" s="86">
        <v>2.9558577807620168E-12</v>
      </c>
      <c r="F46" s="86">
        <v>-1.2391865311656147E-11</v>
      </c>
      <c r="G46" s="86">
        <v>-9.0949470177292824E-12</v>
      </c>
      <c r="H46" s="86">
        <f t="shared" si="78"/>
        <v>2050</v>
      </c>
      <c r="I46" s="86">
        <f t="shared" si="113"/>
        <v>25093.8371864861</v>
      </c>
      <c r="J46" s="86">
        <f t="shared" si="114"/>
        <v>3.5412280644185274E-12</v>
      </c>
      <c r="K46" s="86">
        <f t="shared" si="93"/>
        <v>2.8772478023400536E-12</v>
      </c>
      <c r="L46" s="86">
        <f t="shared" si="94"/>
        <v>-1.206230809442561E-11</v>
      </c>
      <c r="M46" s="86">
        <f t="shared" si="95"/>
        <v>-8.853070161046319E-12</v>
      </c>
      <c r="N46">
        <f t="shared" si="96"/>
        <v>2050</v>
      </c>
      <c r="O46" s="3">
        <f t="shared" si="97"/>
        <v>0.64022804084821749</v>
      </c>
      <c r="P46" s="3">
        <f t="shared" si="80"/>
        <v>9.0348617831168572E-17</v>
      </c>
      <c r="Q46" s="3">
        <f t="shared" si="81"/>
        <v>7.3408251987824465E-17</v>
      </c>
      <c r="R46" s="3">
        <f t="shared" si="82"/>
        <v>-3.0774997948741798E-16</v>
      </c>
      <c r="S46" s="3">
        <f t="shared" si="83"/>
        <v>-2.2587154457792143E-16</v>
      </c>
      <c r="U46">
        <f t="shared" si="84"/>
        <v>2050</v>
      </c>
      <c r="V46" s="86">
        <f t="shared" si="115"/>
        <v>25093.8371864861</v>
      </c>
      <c r="W46" s="86">
        <f t="shared" si="85"/>
        <v>3.5412280644185274E-12</v>
      </c>
      <c r="X46" s="86">
        <f t="shared" si="86"/>
        <v>2.8772478023400536E-12</v>
      </c>
      <c r="Y46" s="86">
        <f t="shared" si="87"/>
        <v>-1.206230809442561E-11</v>
      </c>
      <c r="Z46" s="86">
        <f t="shared" si="88"/>
        <v>-8.853070161046319E-12</v>
      </c>
      <c r="AB46" s="102">
        <f>'F-Gases'!C69</f>
        <v>4.3343106881366111E-13</v>
      </c>
      <c r="AC46" s="86">
        <f t="shared" si="150"/>
        <v>-1.1368683772161603E-12</v>
      </c>
      <c r="AE46">
        <f t="shared" si="98"/>
        <v>2050</v>
      </c>
      <c r="AF46" s="86">
        <f t="shared" si="119"/>
        <v>25093.8371864861</v>
      </c>
      <c r="AG46" s="86">
        <f t="shared" si="116"/>
        <v>2.8804233201616343E-12</v>
      </c>
      <c r="AH46" s="86">
        <f t="shared" si="99"/>
        <v>2.1382833571495494E-12</v>
      </c>
      <c r="AI46" s="86">
        <f t="shared" si="100"/>
        <v>-1.2687585701894498E-11</v>
      </c>
      <c r="AJ46" s="86">
        <f t="shared" si="101"/>
        <v>-9.6488780250976312E-12</v>
      </c>
      <c r="AL46" s="88">
        <f t="shared" si="102"/>
        <v>0.56962678706772385</v>
      </c>
      <c r="AM46" s="88">
        <f t="shared" si="103"/>
        <v>6.5385228614706519E-17</v>
      </c>
      <c r="AN46" s="88">
        <f t="shared" si="104"/>
        <v>4.8538749555186874E-17</v>
      </c>
      <c r="AO46" s="88">
        <f t="shared" si="105"/>
        <v>-2.8800651830596263E-16</v>
      </c>
      <c r="AP46" s="88">
        <f t="shared" si="106"/>
        <v>-2.1902825571868515E-16</v>
      </c>
      <c r="AQ46" s="86">
        <f t="shared" si="139"/>
        <v>2050</v>
      </c>
      <c r="AR46" s="102">
        <f t="shared" si="140"/>
        <v>1.3500311979441904E-13</v>
      </c>
      <c r="AS46" s="102">
        <f t="shared" si="140"/>
        <v>5.6843418860808015E-14</v>
      </c>
      <c r="AT46" s="102">
        <f t="shared" si="140"/>
        <v>1.7053025658242404E-13</v>
      </c>
      <c r="AU46" s="102">
        <f t="shared" si="140"/>
        <v>0</v>
      </c>
      <c r="AW46" s="86">
        <f t="shared" si="110"/>
        <v>-7.9580786405131221E-13</v>
      </c>
      <c r="AX46" s="86">
        <f t="shared" ref="AX46:AZ46" si="159">AW46</f>
        <v>-7.9580786405131221E-13</v>
      </c>
      <c r="AY46" s="86">
        <f t="shared" si="159"/>
        <v>-7.9580786405131221E-13</v>
      </c>
      <c r="AZ46" s="86">
        <f t="shared" si="159"/>
        <v>-7.9580786405131221E-13</v>
      </c>
      <c r="BB46" s="152">
        <f t="shared" si="138"/>
        <v>-7.9580786405131221E-13</v>
      </c>
    </row>
  </sheetData>
  <sheetProtection algorithmName="SHA-512" hashValue="jBBubMfzlDHay075qqf0A+sBE+IIjWx2WNLmBTDoWue4J/FBeIbVVh2HIX2X5VP+bWdV9iRx63fmlqL5LoYc9A==" saltValue="ENI46YLFEuGloz4UVqZWs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49C7-6A07-40BC-9621-1923539BD8E1}">
  <sheetPr>
    <tabColor rgb="FFFFC000"/>
  </sheetPr>
  <dimension ref="A1:AI34"/>
  <sheetViews>
    <sheetView workbookViewId="0">
      <selection activeCell="C36" sqref="C36"/>
    </sheetView>
  </sheetViews>
  <sheetFormatPr defaultRowHeight="14.5" x14ac:dyDescent="0.35"/>
  <cols>
    <col min="25" max="25" width="18.1796875" bestFit="1" customWidth="1"/>
  </cols>
  <sheetData>
    <row r="1" spans="1:35" x14ac:dyDescent="0.35">
      <c r="E1">
        <v>4796.3715012967114</v>
      </c>
      <c r="N1" s="86">
        <f t="shared" ref="N1:P1" si="0">$E1*N$2</f>
        <v>3945.1234364767633</v>
      </c>
      <c r="O1" s="86">
        <f t="shared" si="0"/>
        <v>505.44404595538384</v>
      </c>
      <c r="P1" s="86">
        <f t="shared" si="0"/>
        <v>345.80401886456417</v>
      </c>
      <c r="S1" s="2">
        <f>O1/28</f>
        <v>18.051573069835136</v>
      </c>
      <c r="T1" s="2">
        <f>P1/265</f>
        <v>1.3049208259040157</v>
      </c>
      <c r="V1" t="s">
        <v>3</v>
      </c>
      <c r="W1" t="s">
        <v>4</v>
      </c>
      <c r="Y1" s="3">
        <f>'Scenario 51-51%'!D1</f>
        <v>0.51</v>
      </c>
      <c r="Z1" s="3">
        <f>'Scenario 57-40%'!D1</f>
        <v>0.4</v>
      </c>
      <c r="AA1" s="3">
        <f>'Scenario 61-33%'!D1</f>
        <v>0.33</v>
      </c>
      <c r="AB1" s="3">
        <f>'Scenario 65-25%'!D1</f>
        <v>0.26</v>
      </c>
      <c r="AC1" s="3">
        <f>'Scenario 69-19%'!D1</f>
        <v>0.185</v>
      </c>
      <c r="AE1" s="3">
        <f>'Scenario 51-51%'!E1</f>
        <v>0.51</v>
      </c>
      <c r="AF1" s="3">
        <f>'Scenario 57-40%'!E1</f>
        <v>0.4</v>
      </c>
      <c r="AG1" s="3">
        <f>'Scenario 61-33%'!E1</f>
        <v>0.33</v>
      </c>
      <c r="AH1" s="3">
        <f>'Scenario 65-25%'!E1</f>
        <v>0.26</v>
      </c>
      <c r="AI1" s="3">
        <f>'Scenario 69-19%'!E1</f>
        <v>0.185</v>
      </c>
    </row>
    <row r="2" spans="1:35" x14ac:dyDescent="0.35">
      <c r="A2" t="s">
        <v>333</v>
      </c>
      <c r="M2" t="s">
        <v>332</v>
      </c>
      <c r="N2" s="81">
        <f>'CO2 1990-2019'!AI154</f>
        <v>0.8225224913062279</v>
      </c>
      <c r="O2" s="81">
        <f>'CO2 1990-2019'!AI155</f>
        <v>0.10538050395361072</v>
      </c>
      <c r="P2" s="81">
        <f>'CO2 1990-2019'!AI156</f>
        <v>7.2097004740161424E-2</v>
      </c>
      <c r="S2" s="2">
        <f>S1</f>
        <v>18.051573069835136</v>
      </c>
      <c r="T2" s="2">
        <f>T1</f>
        <v>1.3049208259040157</v>
      </c>
      <c r="U2">
        <v>2018</v>
      </c>
      <c r="V2" s="102">
        <f>'CH4 1990-2019'!I108</f>
        <v>18.411705026477193</v>
      </c>
      <c r="W2" s="102">
        <f>'N2O 1990-2019'!I109</f>
        <v>1.360331971057537</v>
      </c>
      <c r="Y2" s="2">
        <f>$V2*(Y$1)</f>
        <v>9.3899695635033691</v>
      </c>
      <c r="Z2" s="2">
        <f t="shared" ref="Z2:AC2" si="1">$V2*Z$1</f>
        <v>7.3646820105908777</v>
      </c>
      <c r="AA2" s="2">
        <f t="shared" si="1"/>
        <v>6.0758626587374742</v>
      </c>
      <c r="AB2" s="2">
        <f t="shared" si="1"/>
        <v>4.7870433068840708</v>
      </c>
      <c r="AC2" s="2">
        <f t="shared" si="1"/>
        <v>3.4061654298982806</v>
      </c>
      <c r="AE2" s="1">
        <f>$W2*AE$1</f>
        <v>0.69376930523934388</v>
      </c>
      <c r="AF2" s="1">
        <f t="shared" ref="AF2:AI2" si="2">$W2*AF$1</f>
        <v>0.54413278842301482</v>
      </c>
      <c r="AG2" s="1">
        <f t="shared" si="2"/>
        <v>0.44890955044898723</v>
      </c>
      <c r="AH2" s="1">
        <f t="shared" si="2"/>
        <v>0.35368631247495963</v>
      </c>
      <c r="AI2" s="1">
        <f t="shared" si="2"/>
        <v>0.25166141464564434</v>
      </c>
    </row>
    <row r="3" spans="1:35" x14ac:dyDescent="0.35">
      <c r="D3" t="s">
        <v>1</v>
      </c>
      <c r="E3" t="s">
        <v>324</v>
      </c>
      <c r="F3" t="s">
        <v>325</v>
      </c>
      <c r="G3" t="s">
        <v>326</v>
      </c>
      <c r="H3" t="s">
        <v>327</v>
      </c>
      <c r="I3" t="s">
        <v>328</v>
      </c>
      <c r="J3" t="s">
        <v>329</v>
      </c>
      <c r="K3" t="s">
        <v>330</v>
      </c>
      <c r="L3" t="s">
        <v>331</v>
      </c>
      <c r="N3" t="s">
        <v>2</v>
      </c>
      <c r="O3" t="s">
        <v>3</v>
      </c>
      <c r="P3" t="s">
        <v>4</v>
      </c>
      <c r="Q3" t="s">
        <v>199</v>
      </c>
      <c r="S3" s="2">
        <f>S2</f>
        <v>18.051573069835136</v>
      </c>
      <c r="T3" s="2">
        <f>T2</f>
        <v>1.3049208259040157</v>
      </c>
      <c r="U3">
        <v>2019</v>
      </c>
      <c r="V3" s="102">
        <f>'CH4 1990-2019'!I109</f>
        <v>17.008581781500197</v>
      </c>
      <c r="W3" s="102">
        <f>'N2O 1990-2019'!I110</f>
        <v>1.334502912376422</v>
      </c>
      <c r="Y3">
        <f>($V5-Y2)/9</f>
        <v>0.84651246866631424</v>
      </c>
      <c r="Z3">
        <f t="shared" ref="Z3:AC3" si="3">($V5-Z2)/9</f>
        <v>1.0715444189899244</v>
      </c>
      <c r="AA3">
        <f t="shared" si="3"/>
        <v>1.2147465691958581</v>
      </c>
      <c r="AB3">
        <f t="shared" si="3"/>
        <v>1.3579487194017918</v>
      </c>
      <c r="AC3">
        <f t="shared" si="3"/>
        <v>1.5113795946224353</v>
      </c>
      <c r="AE3">
        <f>($W5-AE2)/9</f>
        <v>7.119262301523091E-2</v>
      </c>
      <c r="AF3">
        <f t="shared" ref="AF3:AI3" si="4">($W5-AF2)/9</f>
        <v>8.7818902661489687E-2</v>
      </c>
      <c r="AG3">
        <f t="shared" si="4"/>
        <v>9.839926243638164E-2</v>
      </c>
      <c r="AH3">
        <f t="shared" si="4"/>
        <v>0.10897962221127361</v>
      </c>
      <c r="AI3">
        <f t="shared" si="4"/>
        <v>0.1203157219700864</v>
      </c>
    </row>
    <row r="4" spans="1:35" x14ac:dyDescent="0.35">
      <c r="D4">
        <v>2020</v>
      </c>
      <c r="E4" s="102">
        <v>4361.3300809906232</v>
      </c>
      <c r="F4" s="102">
        <v>-4419.7267497530884</v>
      </c>
      <c r="G4" s="102">
        <v>-113.68523723674086</v>
      </c>
      <c r="H4" s="102">
        <v>7269.841614360912</v>
      </c>
      <c r="I4" s="102">
        <v>2455.8757922263731</v>
      </c>
      <c r="J4" s="102">
        <v>224.93846473158743</v>
      </c>
      <c r="K4" s="102">
        <v>49.019253734796976</v>
      </c>
      <c r="L4" s="102">
        <v>-1104.9330570732163</v>
      </c>
      <c r="N4" s="86">
        <f>$E4*N$2</f>
        <v>3587.2920836252001</v>
      </c>
      <c r="O4" s="86">
        <f t="shared" ref="O4:P14" si="5">$E4*O$2</f>
        <v>459.59916184283372</v>
      </c>
      <c r="P4" s="86">
        <f t="shared" si="5"/>
        <v>314.43883552258956</v>
      </c>
      <c r="Q4" s="129">
        <f>SUM(N4:P4)-E4</f>
        <v>0</v>
      </c>
      <c r="S4" s="2">
        <f>O4/28</f>
        <v>16.414255780101204</v>
      </c>
      <c r="T4" s="2">
        <f>P4/265</f>
        <v>1.1865616434814701</v>
      </c>
      <c r="U4">
        <f>U3+1</f>
        <v>2020</v>
      </c>
      <c r="V4" s="102">
        <f>V3</f>
        <v>17.008581781500197</v>
      </c>
      <c r="W4" s="102">
        <f>W3</f>
        <v>1.334502912376422</v>
      </c>
      <c r="Y4" s="102">
        <f>V4</f>
        <v>17.008581781500197</v>
      </c>
      <c r="Z4" s="102">
        <f>Y4</f>
        <v>17.008581781500197</v>
      </c>
      <c r="AA4" s="102">
        <f t="shared" ref="AA4:AC4" si="6">Z4</f>
        <v>17.008581781500197</v>
      </c>
      <c r="AB4" s="102">
        <f t="shared" si="6"/>
        <v>17.008581781500197</v>
      </c>
      <c r="AC4" s="102">
        <f t="shared" si="6"/>
        <v>17.008581781500197</v>
      </c>
      <c r="AE4" s="90">
        <f>W3</f>
        <v>1.334502912376422</v>
      </c>
      <c r="AF4" s="90">
        <f>AE4</f>
        <v>1.334502912376422</v>
      </c>
      <c r="AG4" s="90">
        <f t="shared" ref="AG4:AI4" si="7">AF4</f>
        <v>1.334502912376422</v>
      </c>
      <c r="AH4" s="90">
        <f t="shared" si="7"/>
        <v>1.334502912376422</v>
      </c>
      <c r="AI4" s="90">
        <f t="shared" si="7"/>
        <v>1.334502912376422</v>
      </c>
    </row>
    <row r="5" spans="1:35" x14ac:dyDescent="0.35">
      <c r="D5">
        <v>2021</v>
      </c>
      <c r="E5" s="102">
        <v>4719.7889437081976</v>
      </c>
      <c r="F5" s="102">
        <v>-4018.3576164937122</v>
      </c>
      <c r="G5" s="102">
        <v>-9.9316155393312027</v>
      </c>
      <c r="H5" s="102">
        <v>7334.8147084518423</v>
      </c>
      <c r="I5" s="102">
        <v>2336.9960708928488</v>
      </c>
      <c r="J5" s="102">
        <v>224.39438621190979</v>
      </c>
      <c r="K5" s="102">
        <v>49.019253734796976</v>
      </c>
      <c r="L5" s="102">
        <v>-1197.1462435501564</v>
      </c>
      <c r="N5" s="86">
        <f t="shared" ref="N5:N14" si="8">$E5*N$2</f>
        <v>3882.1325604184567</v>
      </c>
      <c r="O5" s="86">
        <f t="shared" si="5"/>
        <v>497.37373744264988</v>
      </c>
      <c r="P5" s="86">
        <f t="shared" si="5"/>
        <v>340.28264584709143</v>
      </c>
      <c r="Q5" s="129">
        <f t="shared" ref="Q5:Q14" si="9">SUM(N5:P5)-E5</f>
        <v>0</v>
      </c>
      <c r="S5" s="2">
        <f t="shared" ref="S5:S14" si="10">O5/28</f>
        <v>17.763347765808923</v>
      </c>
      <c r="T5" s="2">
        <f t="shared" ref="T5:T14" si="11">P5/265</f>
        <v>1.2840854560267601</v>
      </c>
      <c r="U5">
        <f t="shared" ref="U5:U14" si="12">U4+1</f>
        <v>2021</v>
      </c>
      <c r="V5" s="102">
        <f>V4</f>
        <v>17.008581781500197</v>
      </c>
      <c r="W5" s="102">
        <f>W4</f>
        <v>1.334502912376422</v>
      </c>
      <c r="Y5" s="102">
        <f>Y4</f>
        <v>17.008581781500197</v>
      </c>
      <c r="Z5" s="102">
        <f>Y5</f>
        <v>17.008581781500197</v>
      </c>
      <c r="AA5" s="102">
        <f t="shared" ref="AA5:AC5" si="13">Z5</f>
        <v>17.008581781500197</v>
      </c>
      <c r="AB5" s="102">
        <f t="shared" si="13"/>
        <v>17.008581781500197</v>
      </c>
      <c r="AC5" s="102">
        <f t="shared" si="13"/>
        <v>17.008581781500197</v>
      </c>
      <c r="AE5" s="90">
        <f>AE4</f>
        <v>1.334502912376422</v>
      </c>
      <c r="AF5" s="90">
        <f t="shared" ref="AF5:AI5" si="14">AF4</f>
        <v>1.334502912376422</v>
      </c>
      <c r="AG5" s="90">
        <f t="shared" si="14"/>
        <v>1.334502912376422</v>
      </c>
      <c r="AH5" s="90">
        <f t="shared" si="14"/>
        <v>1.334502912376422</v>
      </c>
      <c r="AI5" s="90">
        <f t="shared" si="14"/>
        <v>1.334502912376422</v>
      </c>
    </row>
    <row r="6" spans="1:35" x14ac:dyDescent="0.35">
      <c r="D6">
        <v>2022</v>
      </c>
      <c r="E6" s="102">
        <v>4563.6013868334931</v>
      </c>
      <c r="F6" s="102">
        <v>-3571.1229994600417</v>
      </c>
      <c r="G6" s="102">
        <v>5.0100497567350484</v>
      </c>
      <c r="H6" s="102">
        <v>7119.7205187866857</v>
      </c>
      <c r="I6" s="102">
        <v>2103.2964638035642</v>
      </c>
      <c r="J6" s="102">
        <v>223.85030769223209</v>
      </c>
      <c r="K6" s="102">
        <v>49.019253734796976</v>
      </c>
      <c r="L6" s="102">
        <v>-1366.1722074804795</v>
      </c>
      <c r="N6" s="86">
        <f t="shared" si="8"/>
        <v>3753.6647820268413</v>
      </c>
      <c r="O6" s="86">
        <f t="shared" si="5"/>
        <v>480.91461398791029</v>
      </c>
      <c r="P6" s="86">
        <f t="shared" si="5"/>
        <v>329.02199081874159</v>
      </c>
      <c r="Q6" s="129">
        <f t="shared" si="9"/>
        <v>0</v>
      </c>
      <c r="S6" s="2">
        <f t="shared" si="10"/>
        <v>17.175521928139652</v>
      </c>
      <c r="T6" s="2">
        <f t="shared" si="11"/>
        <v>1.2415924181839304</v>
      </c>
      <c r="U6">
        <f t="shared" si="12"/>
        <v>2022</v>
      </c>
      <c r="Y6" s="102">
        <f>Y5-Y$3</f>
        <v>16.162069312833882</v>
      </c>
      <c r="Z6" s="102">
        <f t="shared" ref="Z6:AC14" si="15">Z5-Z$3</f>
        <v>15.937037362510273</v>
      </c>
      <c r="AA6" s="102">
        <f t="shared" si="15"/>
        <v>15.793835212304339</v>
      </c>
      <c r="AB6" s="102">
        <f t="shared" si="15"/>
        <v>15.650633062098406</v>
      </c>
      <c r="AC6" s="102">
        <f t="shared" si="15"/>
        <v>15.497202186877763</v>
      </c>
      <c r="AE6" s="90">
        <f>AE5-AE$3</f>
        <v>1.2633102893611912</v>
      </c>
      <c r="AF6" s="90">
        <f t="shared" ref="AF6:AI6" si="16">AF5-AF$3</f>
        <v>1.2466840097149323</v>
      </c>
      <c r="AG6" s="90">
        <f t="shared" si="16"/>
        <v>1.2361036499400404</v>
      </c>
      <c r="AH6" s="90">
        <f t="shared" si="16"/>
        <v>1.2255232901651485</v>
      </c>
      <c r="AI6" s="90">
        <f t="shared" si="16"/>
        <v>1.2141871904063357</v>
      </c>
    </row>
    <row r="7" spans="1:35" x14ac:dyDescent="0.35">
      <c r="D7">
        <v>2023</v>
      </c>
      <c r="E7" s="102">
        <v>5990.1033932200116</v>
      </c>
      <c r="F7" s="102">
        <v>-1432.4484329168515</v>
      </c>
      <c r="G7" s="102">
        <v>129.88820687704649</v>
      </c>
      <c r="H7" s="102">
        <v>6846.9341290057837</v>
      </c>
      <c r="I7" s="102">
        <v>1869.5968567142791</v>
      </c>
      <c r="J7" s="102">
        <v>223.30622917255442</v>
      </c>
      <c r="K7" s="102">
        <v>49.019253734796976</v>
      </c>
      <c r="L7" s="102">
        <v>-1696.1928493675975</v>
      </c>
      <c r="N7" s="86">
        <f t="shared" si="8"/>
        <v>4926.9947661732131</v>
      </c>
      <c r="O7" s="86">
        <f t="shared" si="5"/>
        <v>631.24011431175836</v>
      </c>
      <c r="P7" s="86">
        <f t="shared" si="5"/>
        <v>431.86851273504021</v>
      </c>
      <c r="Q7" s="129">
        <f t="shared" si="9"/>
        <v>0</v>
      </c>
      <c r="S7" s="2">
        <f t="shared" si="10"/>
        <v>22.544289796848513</v>
      </c>
      <c r="T7" s="2">
        <f t="shared" si="11"/>
        <v>1.6296925008869443</v>
      </c>
      <c r="U7">
        <f t="shared" si="12"/>
        <v>2023</v>
      </c>
      <c r="Y7" s="102">
        <f t="shared" ref="Y7:Y13" si="17">Y6-Y$3</f>
        <v>15.315556844167569</v>
      </c>
      <c r="Z7" s="102">
        <f t="shared" si="15"/>
        <v>14.865492943520348</v>
      </c>
      <c r="AA7" s="102">
        <f t="shared" si="15"/>
        <v>14.579088643108481</v>
      </c>
      <c r="AB7" s="102">
        <f t="shared" si="15"/>
        <v>14.292684342696614</v>
      </c>
      <c r="AC7" s="102">
        <f t="shared" si="15"/>
        <v>13.985822592255328</v>
      </c>
      <c r="AE7" s="90">
        <f t="shared" ref="AE7:AE14" si="18">AE6-AE$3</f>
        <v>1.1921176663459603</v>
      </c>
      <c r="AF7" s="90">
        <f t="shared" ref="AF7:AF14" si="19">AF6-AF$3</f>
        <v>1.1588651070534426</v>
      </c>
      <c r="AG7" s="90">
        <f t="shared" ref="AG7:AG14" si="20">AG6-AG$3</f>
        <v>1.1377043875036588</v>
      </c>
      <c r="AH7" s="90">
        <f t="shared" ref="AH7:AH14" si="21">AH6-AH$3</f>
        <v>1.1165436679538749</v>
      </c>
      <c r="AI7" s="90">
        <f t="shared" ref="AI7:AI14" si="22">AI6-AI$3</f>
        <v>1.0938714684362494</v>
      </c>
    </row>
    <row r="8" spans="1:35" x14ac:dyDescent="0.35">
      <c r="D8">
        <v>2024</v>
      </c>
      <c r="E8" s="102">
        <v>4617.9201997067157</v>
      </c>
      <c r="F8" s="102">
        <v>-1471.9258331650526</v>
      </c>
      <c r="G8" s="102">
        <v>-84.299163578605885</v>
      </c>
      <c r="H8" s="102">
        <v>6458.0972783538673</v>
      </c>
      <c r="I8" s="102">
        <v>1635.8972496249942</v>
      </c>
      <c r="J8" s="102">
        <v>222.7621506528767</v>
      </c>
      <c r="K8" s="102">
        <v>49.019253734796976</v>
      </c>
      <c r="L8" s="102">
        <v>-2191.630735916161</v>
      </c>
      <c r="N8" s="86">
        <f t="shared" si="8"/>
        <v>3798.3432273161211</v>
      </c>
      <c r="O8" s="86">
        <f t="shared" si="5"/>
        <v>486.63875786265237</v>
      </c>
      <c r="P8" s="86">
        <f t="shared" si="5"/>
        <v>332.93821452794225</v>
      </c>
      <c r="Q8" s="129">
        <f t="shared" si="9"/>
        <v>0</v>
      </c>
      <c r="S8" s="2">
        <f t="shared" si="10"/>
        <v>17.37995563795187</v>
      </c>
      <c r="T8" s="2">
        <f t="shared" si="11"/>
        <v>1.2563706208601595</v>
      </c>
      <c r="U8">
        <f t="shared" si="12"/>
        <v>2024</v>
      </c>
      <c r="Y8" s="102">
        <f t="shared" si="17"/>
        <v>14.469044375501255</v>
      </c>
      <c r="Z8" s="102">
        <f t="shared" si="15"/>
        <v>13.793948524530423</v>
      </c>
      <c r="AA8" s="102">
        <f t="shared" si="15"/>
        <v>13.364342073912622</v>
      </c>
      <c r="AB8" s="102">
        <f t="shared" si="15"/>
        <v>12.934735623294822</v>
      </c>
      <c r="AC8" s="102">
        <f t="shared" si="15"/>
        <v>12.474442997632893</v>
      </c>
      <c r="AE8" s="90">
        <f t="shared" si="18"/>
        <v>1.1209250433307294</v>
      </c>
      <c r="AF8" s="90">
        <f t="shared" si="19"/>
        <v>1.0710462043919529</v>
      </c>
      <c r="AG8" s="90">
        <f t="shared" si="20"/>
        <v>1.0393051250672771</v>
      </c>
      <c r="AH8" s="90">
        <f t="shared" si="21"/>
        <v>1.0075640457426014</v>
      </c>
      <c r="AI8" s="90">
        <f t="shared" si="22"/>
        <v>0.97355574646616294</v>
      </c>
    </row>
    <row r="9" spans="1:35" x14ac:dyDescent="0.35">
      <c r="D9">
        <v>2025</v>
      </c>
      <c r="E9" s="102">
        <v>4401.2902294310416</v>
      </c>
      <c r="F9" s="102">
        <v>-953.16606364032782</v>
      </c>
      <c r="G9" s="102">
        <v>13.73216661592777</v>
      </c>
      <c r="H9" s="102">
        <v>6074.4668463011812</v>
      </c>
      <c r="I9" s="102">
        <v>1402.1976425357093</v>
      </c>
      <c r="J9" s="102">
        <v>222.21807213319912</v>
      </c>
      <c r="K9" s="102">
        <v>49.019253734796976</v>
      </c>
      <c r="L9" s="102">
        <v>-2407.1776882494441</v>
      </c>
      <c r="N9" s="86">
        <f t="shared" si="8"/>
        <v>3620.1602044733795</v>
      </c>
      <c r="O9" s="86">
        <f t="shared" si="5"/>
        <v>463.81018242354611</v>
      </c>
      <c r="P9" s="86">
        <f t="shared" si="5"/>
        <v>317.31984253411599</v>
      </c>
      <c r="Q9" s="129">
        <f t="shared" si="9"/>
        <v>0</v>
      </c>
      <c r="S9" s="2">
        <f t="shared" si="10"/>
        <v>16.564649372269503</v>
      </c>
      <c r="T9" s="2">
        <f t="shared" si="11"/>
        <v>1.1974333680532678</v>
      </c>
      <c r="U9">
        <f t="shared" si="12"/>
        <v>2025</v>
      </c>
      <c r="Y9" s="102">
        <f t="shared" si="17"/>
        <v>13.622531906834942</v>
      </c>
      <c r="Z9" s="102">
        <f t="shared" si="15"/>
        <v>12.722404105540498</v>
      </c>
      <c r="AA9" s="102">
        <f t="shared" si="15"/>
        <v>12.149595504716764</v>
      </c>
      <c r="AB9" s="102">
        <f t="shared" si="15"/>
        <v>11.57678690389303</v>
      </c>
      <c r="AC9" s="102">
        <f t="shared" si="15"/>
        <v>10.963063403010459</v>
      </c>
      <c r="AE9" s="90">
        <f t="shared" si="18"/>
        <v>1.0497324203154985</v>
      </c>
      <c r="AF9" s="90">
        <f t="shared" si="19"/>
        <v>0.98322730173046313</v>
      </c>
      <c r="AG9" s="90">
        <f t="shared" si="20"/>
        <v>0.94090586263089548</v>
      </c>
      <c r="AH9" s="90">
        <f t="shared" si="21"/>
        <v>0.89858442353132784</v>
      </c>
      <c r="AI9" s="90">
        <f t="shared" si="22"/>
        <v>0.8532400244960765</v>
      </c>
    </row>
    <row r="10" spans="1:35" x14ac:dyDescent="0.35">
      <c r="D10">
        <v>2026</v>
      </c>
      <c r="E10" s="102">
        <v>3044.4588289848575</v>
      </c>
      <c r="F10" s="102">
        <v>-1067.646855091609</v>
      </c>
      <c r="G10" s="102">
        <v>-153.37321445181368</v>
      </c>
      <c r="H10" s="102">
        <v>5692.4709376516867</v>
      </c>
      <c r="I10" s="102">
        <v>1168.4980354464244</v>
      </c>
      <c r="J10" s="102">
        <v>221.67399361352139</v>
      </c>
      <c r="K10" s="102">
        <v>49.019253734796976</v>
      </c>
      <c r="L10" s="102">
        <v>-2866.1833219181485</v>
      </c>
      <c r="N10" s="86">
        <f t="shared" si="8"/>
        <v>2504.1358606958661</v>
      </c>
      <c r="O10" s="86">
        <f t="shared" si="5"/>
        <v>320.82660566444383</v>
      </c>
      <c r="P10" s="86">
        <f t="shared" si="5"/>
        <v>219.49636262454757</v>
      </c>
      <c r="Q10" s="129">
        <f t="shared" si="9"/>
        <v>0</v>
      </c>
      <c r="S10" s="2">
        <f t="shared" si="10"/>
        <v>11.458093059444423</v>
      </c>
      <c r="T10" s="2">
        <f t="shared" si="11"/>
        <v>0.82828816084734935</v>
      </c>
      <c r="U10">
        <f t="shared" si="12"/>
        <v>2026</v>
      </c>
      <c r="Y10" s="102">
        <f t="shared" si="17"/>
        <v>12.776019438168628</v>
      </c>
      <c r="Z10" s="102">
        <f t="shared" si="15"/>
        <v>11.650859686550573</v>
      </c>
      <c r="AA10" s="102">
        <f t="shared" si="15"/>
        <v>10.934848935520906</v>
      </c>
      <c r="AB10" s="102">
        <f t="shared" si="15"/>
        <v>10.218838184491238</v>
      </c>
      <c r="AC10" s="102">
        <f t="shared" si="15"/>
        <v>9.4516838083880241</v>
      </c>
      <c r="AE10" s="90">
        <f t="shared" si="18"/>
        <v>0.97853979730026763</v>
      </c>
      <c r="AF10" s="90">
        <f t="shared" si="19"/>
        <v>0.8954083990689734</v>
      </c>
      <c r="AG10" s="90">
        <f t="shared" si="20"/>
        <v>0.84250660019451384</v>
      </c>
      <c r="AH10" s="90">
        <f t="shared" si="21"/>
        <v>0.78960480132005428</v>
      </c>
      <c r="AI10" s="90">
        <f t="shared" si="22"/>
        <v>0.73292430252599006</v>
      </c>
    </row>
    <row r="11" spans="1:35" x14ac:dyDescent="0.35">
      <c r="D11">
        <v>2027</v>
      </c>
      <c r="E11" s="102">
        <v>2939.0238659749953</v>
      </c>
      <c r="F11" s="102">
        <v>-1084.1300920723372</v>
      </c>
      <c r="G11" s="102">
        <v>96.247853346237875</v>
      </c>
      <c r="H11" s="102">
        <v>5331.5653288638659</v>
      </c>
      <c r="I11" s="102">
        <v>934.79842835713953</v>
      </c>
      <c r="J11" s="102">
        <v>221.12991509384369</v>
      </c>
      <c r="K11" s="102">
        <v>49.019253734796976</v>
      </c>
      <c r="L11" s="102">
        <v>-2609.6068213485514</v>
      </c>
      <c r="N11" s="86">
        <f t="shared" si="8"/>
        <v>2417.4132322502142</v>
      </c>
      <c r="O11" s="86">
        <f t="shared" si="5"/>
        <v>309.71581612813424</v>
      </c>
      <c r="P11" s="86">
        <f t="shared" si="5"/>
        <v>211.89481759664679</v>
      </c>
      <c r="Q11" s="129">
        <f t="shared" si="9"/>
        <v>0</v>
      </c>
      <c r="S11" s="2">
        <f t="shared" si="10"/>
        <v>11.061279147433366</v>
      </c>
      <c r="T11" s="2">
        <f t="shared" si="11"/>
        <v>0.79960308527036528</v>
      </c>
      <c r="U11">
        <f t="shared" si="12"/>
        <v>2027</v>
      </c>
      <c r="Y11" s="102">
        <f t="shared" si="17"/>
        <v>11.929506969502315</v>
      </c>
      <c r="Z11" s="102">
        <f t="shared" si="15"/>
        <v>10.579315267560649</v>
      </c>
      <c r="AA11" s="102">
        <f t="shared" si="15"/>
        <v>9.7201023663250474</v>
      </c>
      <c r="AB11" s="102">
        <f t="shared" si="15"/>
        <v>8.8608894650894463</v>
      </c>
      <c r="AC11" s="102">
        <f t="shared" si="15"/>
        <v>7.9403042137655886</v>
      </c>
      <c r="AE11" s="90">
        <f t="shared" si="18"/>
        <v>0.90734717428503675</v>
      </c>
      <c r="AF11" s="90">
        <f t="shared" si="19"/>
        <v>0.80758949640748368</v>
      </c>
      <c r="AG11" s="90">
        <f t="shared" si="20"/>
        <v>0.7441073377581322</v>
      </c>
      <c r="AH11" s="90">
        <f t="shared" si="21"/>
        <v>0.68062517910878073</v>
      </c>
      <c r="AI11" s="90">
        <f t="shared" si="22"/>
        <v>0.61260858055590361</v>
      </c>
    </row>
    <row r="12" spans="1:35" x14ac:dyDescent="0.35">
      <c r="D12">
        <v>2028</v>
      </c>
      <c r="E12" s="102">
        <v>2427.8762861782484</v>
      </c>
      <c r="F12" s="102">
        <v>-1259.1625324223987</v>
      </c>
      <c r="G12" s="102">
        <v>34.601163503392755</v>
      </c>
      <c r="H12" s="102">
        <v>4958.7725792542878</v>
      </c>
      <c r="I12" s="102">
        <v>701.09882126785476</v>
      </c>
      <c r="J12" s="102">
        <v>207.72860940365567</v>
      </c>
      <c r="K12" s="102">
        <v>49.019253734796976</v>
      </c>
      <c r="L12" s="102">
        <v>-2264.1816085633404</v>
      </c>
      <c r="N12" s="86">
        <f t="shared" si="8"/>
        <v>1996.9828514906451</v>
      </c>
      <c r="O12" s="86">
        <f t="shared" si="5"/>
        <v>255.85082657448461</v>
      </c>
      <c r="P12" s="86">
        <f t="shared" si="5"/>
        <v>175.04260811311869</v>
      </c>
      <c r="Q12" s="129">
        <f t="shared" si="9"/>
        <v>0</v>
      </c>
      <c r="S12" s="2">
        <f t="shared" si="10"/>
        <v>9.1375295205173082</v>
      </c>
      <c r="T12" s="2">
        <f t="shared" si="11"/>
        <v>0.6605381438230894</v>
      </c>
      <c r="U12">
        <f t="shared" si="12"/>
        <v>2028</v>
      </c>
      <c r="Y12" s="102">
        <f t="shared" si="17"/>
        <v>11.082994500836001</v>
      </c>
      <c r="Z12" s="102">
        <f t="shared" si="15"/>
        <v>9.5077708485707237</v>
      </c>
      <c r="AA12" s="102">
        <f t="shared" si="15"/>
        <v>8.5053557971291891</v>
      </c>
      <c r="AB12" s="102">
        <f t="shared" si="15"/>
        <v>7.5029407456876545</v>
      </c>
      <c r="AC12" s="102">
        <f t="shared" si="15"/>
        <v>6.4289246191431531</v>
      </c>
      <c r="AE12" s="90">
        <f t="shared" si="18"/>
        <v>0.83615455126980587</v>
      </c>
      <c r="AF12" s="90">
        <f t="shared" si="19"/>
        <v>0.71977059374599395</v>
      </c>
      <c r="AG12" s="90">
        <f t="shared" si="20"/>
        <v>0.64570807532175056</v>
      </c>
      <c r="AH12" s="90">
        <f t="shared" si="21"/>
        <v>0.57164555689750718</v>
      </c>
      <c r="AI12" s="90">
        <f t="shared" si="22"/>
        <v>0.49229285858581723</v>
      </c>
    </row>
    <row r="13" spans="1:35" x14ac:dyDescent="0.35">
      <c r="D13">
        <v>2029</v>
      </c>
      <c r="E13" s="102">
        <v>2136.0467857570925</v>
      </c>
      <c r="F13" s="102">
        <v>-527.15380414675656</v>
      </c>
      <c r="G13" s="102">
        <v>-114.93264619517463</v>
      </c>
      <c r="H13" s="102">
        <v>4590.3366626269317</v>
      </c>
      <c r="I13" s="102">
        <v>467.39921417856965</v>
      </c>
      <c r="J13" s="102">
        <v>207.18453088397797</v>
      </c>
      <c r="K13" s="102">
        <v>49.019253734796976</v>
      </c>
      <c r="L13" s="102">
        <v>-2535.8064253252523</v>
      </c>
      <c r="N13" s="86">
        <f t="shared" si="8"/>
        <v>1756.9465237675843</v>
      </c>
      <c r="O13" s="86">
        <f t="shared" si="5"/>
        <v>225.09768675157275</v>
      </c>
      <c r="P13" s="86">
        <f t="shared" si="5"/>
        <v>154.00257523793567</v>
      </c>
      <c r="Q13" s="129">
        <f t="shared" si="9"/>
        <v>0</v>
      </c>
      <c r="S13" s="2">
        <f t="shared" si="10"/>
        <v>8.0392030982704554</v>
      </c>
      <c r="T13" s="2">
        <f t="shared" si="11"/>
        <v>0.58114179335070071</v>
      </c>
      <c r="U13">
        <f t="shared" si="12"/>
        <v>2029</v>
      </c>
      <c r="Y13" s="102">
        <f t="shared" si="17"/>
        <v>10.236482032169688</v>
      </c>
      <c r="Z13" s="102">
        <f t="shared" si="15"/>
        <v>8.4362264295807989</v>
      </c>
      <c r="AA13" s="102">
        <f t="shared" si="15"/>
        <v>7.2906092279333308</v>
      </c>
      <c r="AB13" s="102">
        <f t="shared" si="15"/>
        <v>6.1449920262858626</v>
      </c>
      <c r="AC13" s="102">
        <f t="shared" si="15"/>
        <v>4.9175450245207175</v>
      </c>
      <c r="AE13" s="90">
        <f t="shared" si="18"/>
        <v>0.76496192825457499</v>
      </c>
      <c r="AF13" s="90">
        <f t="shared" si="19"/>
        <v>0.63195169108450422</v>
      </c>
      <c r="AG13" s="90">
        <f t="shared" si="20"/>
        <v>0.54730881288536892</v>
      </c>
      <c r="AH13" s="90">
        <f t="shared" si="21"/>
        <v>0.46266593468623357</v>
      </c>
      <c r="AI13" s="90">
        <f t="shared" si="22"/>
        <v>0.37197713661573084</v>
      </c>
    </row>
    <row r="14" spans="1:35" x14ac:dyDescent="0.35">
      <c r="D14">
        <v>2030</v>
      </c>
      <c r="E14" s="102">
        <v>2351.6668069619195</v>
      </c>
      <c r="F14" s="102">
        <v>328.02860148636819</v>
      </c>
      <c r="G14" s="102">
        <v>96.790471557374957</v>
      </c>
      <c r="H14" s="102">
        <v>4220.4137983923238</v>
      </c>
      <c r="I14" s="102">
        <v>233.69960708928483</v>
      </c>
      <c r="J14" s="102">
        <v>206.48707373197433</v>
      </c>
      <c r="K14" s="102">
        <v>49.019253734796976</v>
      </c>
      <c r="L14" s="102">
        <v>-2782.771999030203</v>
      </c>
      <c r="N14" s="86">
        <f t="shared" si="8"/>
        <v>1934.2988407844803</v>
      </c>
      <c r="O14" s="86">
        <f t="shared" si="5"/>
        <v>247.81983324862566</v>
      </c>
      <c r="P14" s="86">
        <f t="shared" si="5"/>
        <v>169.5481329288138</v>
      </c>
      <c r="Q14" s="129">
        <f t="shared" si="9"/>
        <v>0</v>
      </c>
      <c r="S14" s="2">
        <f t="shared" si="10"/>
        <v>8.8507083303080591</v>
      </c>
      <c r="T14" s="2">
        <f t="shared" si="11"/>
        <v>0.63980427520307093</v>
      </c>
      <c r="U14">
        <f t="shared" si="12"/>
        <v>2030</v>
      </c>
      <c r="Y14" s="102">
        <f>Y13-Y$3</f>
        <v>9.3899695635033744</v>
      </c>
      <c r="Z14" s="102">
        <f t="shared" si="15"/>
        <v>7.3646820105908741</v>
      </c>
      <c r="AA14" s="102">
        <f t="shared" si="15"/>
        <v>6.0758626587374724</v>
      </c>
      <c r="AB14" s="102">
        <f t="shared" si="15"/>
        <v>4.7870433068840708</v>
      </c>
      <c r="AC14" s="102">
        <f t="shared" si="15"/>
        <v>3.406165429898282</v>
      </c>
      <c r="AE14" s="90">
        <f t="shared" si="18"/>
        <v>0.6937693052393441</v>
      </c>
      <c r="AF14" s="90">
        <f t="shared" si="19"/>
        <v>0.54413278842301449</v>
      </c>
      <c r="AG14" s="90">
        <f t="shared" si="20"/>
        <v>0.44890955044898728</v>
      </c>
      <c r="AH14" s="90">
        <f t="shared" si="21"/>
        <v>0.35368631247495996</v>
      </c>
      <c r="AI14" s="90">
        <f t="shared" si="22"/>
        <v>0.25166141464564445</v>
      </c>
    </row>
    <row r="16" spans="1:35" x14ac:dyDescent="0.35">
      <c r="E16">
        <f>1-E14/E1</f>
        <v>0.50969877826891841</v>
      </c>
      <c r="N16" s="81">
        <f>N14/N1</f>
        <v>0.49030122173108165</v>
      </c>
      <c r="O16" s="81">
        <f t="shared" ref="O16:P16" si="23">O14/O1</f>
        <v>0.49030122173108159</v>
      </c>
      <c r="P16" s="81">
        <f t="shared" si="23"/>
        <v>0.49030122173108159</v>
      </c>
      <c r="S16" s="81">
        <f t="shared" ref="S16:T16" si="24">S14/S1</f>
        <v>0.49030122173108165</v>
      </c>
      <c r="T16" s="81">
        <f t="shared" si="24"/>
        <v>0.49030122173108159</v>
      </c>
      <c r="Y16" s="3">
        <f>Y14/$V2</f>
        <v>0.51000000000000034</v>
      </c>
      <c r="Z16" s="3">
        <f t="shared" ref="Z16:AC16" si="25">Z14/$V2</f>
        <v>0.3999999999999998</v>
      </c>
      <c r="AA16" s="3">
        <f t="shared" si="25"/>
        <v>0.3299999999999999</v>
      </c>
      <c r="AB16" s="84">
        <f t="shared" si="25"/>
        <v>0.26</v>
      </c>
      <c r="AC16" s="3">
        <f t="shared" si="25"/>
        <v>0.18500000000000005</v>
      </c>
      <c r="AE16" s="3">
        <f>AE14/$W2</f>
        <v>0.51000000000000012</v>
      </c>
      <c r="AF16" s="3">
        <f t="shared" ref="AF16:AI16" si="26">AF14/$W2</f>
        <v>0.39999999999999974</v>
      </c>
      <c r="AG16" s="3">
        <f t="shared" si="26"/>
        <v>0.33000000000000007</v>
      </c>
      <c r="AH16" s="84">
        <f t="shared" si="26"/>
        <v>0.26000000000000023</v>
      </c>
      <c r="AI16" s="3">
        <f t="shared" si="26"/>
        <v>0.18500000000000008</v>
      </c>
    </row>
    <row r="17" spans="4:35" x14ac:dyDescent="0.35">
      <c r="N17" s="81">
        <f>1-N16</f>
        <v>0.50969877826891841</v>
      </c>
      <c r="O17" s="81">
        <f t="shared" ref="O17:P17" si="27">1-O16</f>
        <v>0.50969877826891841</v>
      </c>
      <c r="P17" s="81">
        <f t="shared" si="27"/>
        <v>0.50969877826891841</v>
      </c>
      <c r="S17" s="81">
        <f t="shared" ref="S17:T17" si="28">1-S16</f>
        <v>0.50969877826891841</v>
      </c>
      <c r="T17" s="81">
        <f t="shared" si="28"/>
        <v>0.50969877826891841</v>
      </c>
      <c r="AB17" s="76"/>
      <c r="AH17" s="76"/>
    </row>
    <row r="18" spans="4:35" x14ac:dyDescent="0.35">
      <c r="D18" t="s">
        <v>253</v>
      </c>
      <c r="E18" s="102">
        <f>SUM(E5:E9)</f>
        <v>24292.70415289946</v>
      </c>
      <c r="AB18" s="76"/>
      <c r="AH18" s="76"/>
    </row>
    <row r="19" spans="4:35" x14ac:dyDescent="0.35">
      <c r="D19" t="s">
        <v>254</v>
      </c>
      <c r="E19" s="102">
        <f>SUM(E10:E14)</f>
        <v>12899.072573857113</v>
      </c>
      <c r="U19">
        <f>U4</f>
        <v>2020</v>
      </c>
      <c r="Y19" s="97">
        <f>(-Y4+$S4)/1000</f>
        <v>-5.943260013989935E-4</v>
      </c>
      <c r="Z19" s="97">
        <f t="shared" ref="Z19:AC19" si="29">(-Z4+$S4)/1000</f>
        <v>-5.943260013989935E-4</v>
      </c>
      <c r="AA19" s="97">
        <f t="shared" si="29"/>
        <v>-5.943260013989935E-4</v>
      </c>
      <c r="AB19" s="77">
        <f t="shared" si="29"/>
        <v>-5.943260013989935E-4</v>
      </c>
      <c r="AC19" s="97">
        <f t="shared" si="29"/>
        <v>-5.943260013989935E-4</v>
      </c>
      <c r="AE19" s="97">
        <f>(-AE4+$T4)/1000</f>
        <v>-1.4794126889495197E-4</v>
      </c>
      <c r="AF19" s="97">
        <f t="shared" ref="AF19:AI19" si="30">(-AF4+$T4)/1000</f>
        <v>-1.4794126889495197E-4</v>
      </c>
      <c r="AG19" s="97">
        <f t="shared" si="30"/>
        <v>-1.4794126889495197E-4</v>
      </c>
      <c r="AH19" s="77">
        <f t="shared" si="30"/>
        <v>-1.4794126889495197E-4</v>
      </c>
      <c r="AI19" s="97">
        <f t="shared" si="30"/>
        <v>-1.4794126889495197E-4</v>
      </c>
    </row>
    <row r="20" spans="4:35" x14ac:dyDescent="0.35">
      <c r="U20">
        <f t="shared" ref="U20:U29" si="31">U5</f>
        <v>2021</v>
      </c>
      <c r="Y20" s="97">
        <f t="shared" ref="Y20:AC29" si="32">(-Y5+$S5)/1000</f>
        <v>7.5476598430872601E-4</v>
      </c>
      <c r="Z20" s="97">
        <f t="shared" si="32"/>
        <v>7.5476598430872601E-4</v>
      </c>
      <c r="AA20" s="97">
        <f t="shared" si="32"/>
        <v>7.5476598430872601E-4</v>
      </c>
      <c r="AB20" s="77">
        <f t="shared" si="32"/>
        <v>7.5476598430872601E-4</v>
      </c>
      <c r="AC20" s="97">
        <f t="shared" si="32"/>
        <v>7.5476598430872601E-4</v>
      </c>
      <c r="AE20" s="97">
        <f t="shared" ref="AE20:AI29" si="33">(-AE5+$T5)/1000</f>
        <v>-5.0417456349661993E-5</v>
      </c>
      <c r="AF20" s="97">
        <f t="shared" si="33"/>
        <v>-5.0417456349661993E-5</v>
      </c>
      <c r="AG20" s="97">
        <f t="shared" si="33"/>
        <v>-5.0417456349661993E-5</v>
      </c>
      <c r="AH20" s="77">
        <f t="shared" si="33"/>
        <v>-5.0417456349661993E-5</v>
      </c>
      <c r="AI20" s="97">
        <f t="shared" si="33"/>
        <v>-5.0417456349661993E-5</v>
      </c>
    </row>
    <row r="21" spans="4:35" x14ac:dyDescent="0.35">
      <c r="E21" t="s">
        <v>227</v>
      </c>
      <c r="F21" t="s">
        <v>226</v>
      </c>
      <c r="U21">
        <f t="shared" si="31"/>
        <v>2022</v>
      </c>
      <c r="Y21" s="97">
        <f t="shared" si="32"/>
        <v>1.0134526153057698E-3</v>
      </c>
      <c r="Z21" s="97">
        <f t="shared" si="32"/>
        <v>1.2384845656293795E-3</v>
      </c>
      <c r="AA21" s="97">
        <f t="shared" si="32"/>
        <v>1.3816867158353129E-3</v>
      </c>
      <c r="AB21" s="77">
        <f t="shared" si="32"/>
        <v>1.5248888660412466E-3</v>
      </c>
      <c r="AC21" s="97">
        <f t="shared" si="32"/>
        <v>1.6783197412618893E-3</v>
      </c>
      <c r="AE21" s="97">
        <f t="shared" si="33"/>
        <v>-2.1717871177260762E-5</v>
      </c>
      <c r="AF21" s="97">
        <f t="shared" si="33"/>
        <v>-5.0915915310019155E-6</v>
      </c>
      <c r="AG21" s="97">
        <f t="shared" si="33"/>
        <v>5.4887682438899961E-6</v>
      </c>
      <c r="AH21" s="77">
        <f t="shared" si="33"/>
        <v>1.6069128018781907E-5</v>
      </c>
      <c r="AI21" s="97">
        <f t="shared" si="33"/>
        <v>2.7405227777594688E-5</v>
      </c>
    </row>
    <row r="22" spans="4:35" x14ac:dyDescent="0.35">
      <c r="E22" s="102">
        <f>SUM(E5:E9)</f>
        <v>24292.70415289946</v>
      </c>
      <c r="F22" s="102">
        <f>SUM(E10:E14)</f>
        <v>12899.072573857113</v>
      </c>
      <c r="U22">
        <f t="shared" si="31"/>
        <v>2023</v>
      </c>
      <c r="Y22" s="97">
        <f t="shared" si="32"/>
        <v>7.2287329526809444E-3</v>
      </c>
      <c r="Z22" s="97">
        <f t="shared" si="32"/>
        <v>7.6787968533281658E-3</v>
      </c>
      <c r="AA22" s="97">
        <f t="shared" si="32"/>
        <v>7.9652011537400327E-3</v>
      </c>
      <c r="AB22" s="77">
        <f t="shared" si="32"/>
        <v>8.2516054541519005E-3</v>
      </c>
      <c r="AC22" s="97">
        <f t="shared" si="32"/>
        <v>8.5584672045931846E-3</v>
      </c>
      <c r="AE22" s="97">
        <f t="shared" si="33"/>
        <v>4.3757483454098399E-4</v>
      </c>
      <c r="AF22" s="97">
        <f t="shared" si="33"/>
        <v>4.7082739383350167E-4</v>
      </c>
      <c r="AG22" s="97">
        <f t="shared" si="33"/>
        <v>4.9198811338328557E-4</v>
      </c>
      <c r="AH22" s="77">
        <f t="shared" si="33"/>
        <v>5.1314883293306936E-4</v>
      </c>
      <c r="AI22" s="97">
        <f t="shared" si="33"/>
        <v>5.3582103245069493E-4</v>
      </c>
    </row>
    <row r="23" spans="4:35" x14ac:dyDescent="0.35">
      <c r="U23">
        <f t="shared" si="31"/>
        <v>2024</v>
      </c>
      <c r="Y23" s="97">
        <f t="shared" si="32"/>
        <v>2.9109112624506146E-3</v>
      </c>
      <c r="Z23" s="97">
        <f t="shared" si="32"/>
        <v>3.5860071134214467E-3</v>
      </c>
      <c r="AA23" s="97">
        <f t="shared" si="32"/>
        <v>4.0156135640392471E-3</v>
      </c>
      <c r="AB23" s="77">
        <f t="shared" si="32"/>
        <v>4.4452200146570479E-3</v>
      </c>
      <c r="AC23" s="97">
        <f t="shared" si="32"/>
        <v>4.9055126403189766E-3</v>
      </c>
      <c r="AE23" s="97">
        <f t="shared" si="33"/>
        <v>1.3544557752943008E-4</v>
      </c>
      <c r="AF23" s="97">
        <f t="shared" si="33"/>
        <v>1.8532441646820663E-4</v>
      </c>
      <c r="AG23" s="97">
        <f t="shared" si="33"/>
        <v>2.1706549579288237E-4</v>
      </c>
      <c r="AH23" s="77">
        <f t="shared" si="33"/>
        <v>2.4880657511755809E-4</v>
      </c>
      <c r="AI23" s="97">
        <f t="shared" si="33"/>
        <v>2.8281487439399655E-4</v>
      </c>
    </row>
    <row r="24" spans="4:35" x14ac:dyDescent="0.35">
      <c r="U24">
        <f t="shared" si="31"/>
        <v>2025</v>
      </c>
      <c r="Y24" s="97">
        <f t="shared" si="32"/>
        <v>2.9421174654345617E-3</v>
      </c>
      <c r="Z24" s="97">
        <f t="shared" si="32"/>
        <v>3.8422452667290054E-3</v>
      </c>
      <c r="AA24" s="97">
        <f t="shared" si="32"/>
        <v>4.4150538675527392E-3</v>
      </c>
      <c r="AB24" s="77">
        <f t="shared" si="32"/>
        <v>4.987862468376473E-3</v>
      </c>
      <c r="AC24" s="97">
        <f t="shared" si="32"/>
        <v>5.6015859692590446E-3</v>
      </c>
      <c r="AE24" s="97">
        <f t="shared" si="33"/>
        <v>1.4770094773776932E-4</v>
      </c>
      <c r="AF24" s="97">
        <f t="shared" si="33"/>
        <v>2.1420606632280471E-4</v>
      </c>
      <c r="AG24" s="97">
        <f t="shared" si="33"/>
        <v>2.5652750542237235E-4</v>
      </c>
      <c r="AH24" s="77">
        <f t="shared" si="33"/>
        <v>2.9884894452193999E-4</v>
      </c>
      <c r="AI24" s="97">
        <f t="shared" si="33"/>
        <v>3.4419334355719134E-4</v>
      </c>
    </row>
    <row r="25" spans="4:35" x14ac:dyDescent="0.35">
      <c r="U25">
        <f t="shared" si="31"/>
        <v>2026</v>
      </c>
      <c r="Y25" s="97">
        <f t="shared" si="32"/>
        <v>-1.3179263787242057E-3</v>
      </c>
      <c r="Z25" s="97">
        <f t="shared" si="32"/>
        <v>-1.9276662710615078E-4</v>
      </c>
      <c r="AA25" s="97">
        <f t="shared" si="32"/>
        <v>5.2324412392351681E-4</v>
      </c>
      <c r="AB25" s="77">
        <f t="shared" si="32"/>
        <v>1.2392548749531845E-3</v>
      </c>
      <c r="AC25" s="97">
        <f t="shared" si="32"/>
        <v>2.0064092510563986E-3</v>
      </c>
      <c r="AE25" s="97">
        <f t="shared" si="33"/>
        <v>-1.5025163645291829E-4</v>
      </c>
      <c r="AF25" s="97">
        <f t="shared" si="33"/>
        <v>-6.7120238221624048E-5</v>
      </c>
      <c r="AG25" s="97">
        <f t="shared" si="33"/>
        <v>-1.4218439347164491E-5</v>
      </c>
      <c r="AH25" s="77">
        <f t="shared" si="33"/>
        <v>3.868335952729507E-5</v>
      </c>
      <c r="AI25" s="97">
        <f t="shared" si="33"/>
        <v>9.5363858321359301E-5</v>
      </c>
    </row>
    <row r="26" spans="4:35" x14ac:dyDescent="0.35">
      <c r="U26">
        <f t="shared" si="31"/>
        <v>2027</v>
      </c>
      <c r="Y26" s="97">
        <f t="shared" si="32"/>
        <v>-8.68227822068949E-4</v>
      </c>
      <c r="Z26" s="97">
        <f t="shared" si="32"/>
        <v>4.8196387987271729E-4</v>
      </c>
      <c r="AA26" s="97">
        <f t="shared" si="32"/>
        <v>1.3411767811083183E-3</v>
      </c>
      <c r="AB26" s="77">
        <f t="shared" si="32"/>
        <v>2.2003896823439197E-3</v>
      </c>
      <c r="AC26" s="97">
        <f t="shared" si="32"/>
        <v>3.1209749336677771E-3</v>
      </c>
      <c r="AE26" s="97">
        <f t="shared" si="33"/>
        <v>-1.0774408901467148E-4</v>
      </c>
      <c r="AF26" s="97">
        <f t="shared" si="33"/>
        <v>-7.9864111371183986E-6</v>
      </c>
      <c r="AG26" s="97">
        <f t="shared" si="33"/>
        <v>5.5495747512233071E-5</v>
      </c>
      <c r="AH26" s="77">
        <f t="shared" si="33"/>
        <v>1.1897790616158454E-4</v>
      </c>
      <c r="AI26" s="97">
        <f t="shared" si="33"/>
        <v>1.8699450471446166E-4</v>
      </c>
    </row>
    <row r="27" spans="4:35" x14ac:dyDescent="0.35">
      <c r="U27">
        <f t="shared" si="31"/>
        <v>2028</v>
      </c>
      <c r="Y27" s="97">
        <f t="shared" si="32"/>
        <v>-1.9454649803186932E-3</v>
      </c>
      <c r="Z27" s="97">
        <f t="shared" si="32"/>
        <v>-3.7024132805341559E-4</v>
      </c>
      <c r="AA27" s="97">
        <f t="shared" si="32"/>
        <v>6.3217372338811903E-4</v>
      </c>
      <c r="AB27" s="77">
        <f t="shared" si="32"/>
        <v>1.6345887748296537E-3</v>
      </c>
      <c r="AC27" s="97">
        <f t="shared" si="32"/>
        <v>2.7086049013741553E-3</v>
      </c>
      <c r="AE27" s="97">
        <f t="shared" si="33"/>
        <v>-1.7561640744671647E-4</v>
      </c>
      <c r="AF27" s="97">
        <f t="shared" si="33"/>
        <v>-5.9232449922904548E-5</v>
      </c>
      <c r="AG27" s="97">
        <f t="shared" si="33"/>
        <v>1.4830068501338833E-5</v>
      </c>
      <c r="AH27" s="77">
        <f t="shared" si="33"/>
        <v>8.8892586925582221E-5</v>
      </c>
      <c r="AI27" s="97">
        <f t="shared" si="33"/>
        <v>1.6824528523727217E-4</v>
      </c>
    </row>
    <row r="28" spans="4:35" x14ac:dyDescent="0.35">
      <c r="U28">
        <f t="shared" si="31"/>
        <v>2029</v>
      </c>
      <c r="Y28" s="97">
        <f t="shared" si="32"/>
        <v>-2.1972789338992322E-3</v>
      </c>
      <c r="Z28" s="97">
        <f t="shared" si="32"/>
        <v>-3.9702333131034351E-4</v>
      </c>
      <c r="AA28" s="97">
        <f t="shared" si="32"/>
        <v>7.4859387033712462E-4</v>
      </c>
      <c r="AB28" s="77">
        <f t="shared" si="32"/>
        <v>1.8942110719845928E-3</v>
      </c>
      <c r="AC28" s="97">
        <f t="shared" si="32"/>
        <v>3.1216580737497379E-3</v>
      </c>
      <c r="AE28" s="97">
        <f t="shared" si="33"/>
        <v>-1.8382013490387427E-4</v>
      </c>
      <c r="AF28" s="97">
        <f t="shared" si="33"/>
        <v>-5.0809897733803509E-5</v>
      </c>
      <c r="AG28" s="97">
        <f t="shared" si="33"/>
        <v>3.3832980465331785E-5</v>
      </c>
      <c r="AH28" s="77">
        <f t="shared" si="33"/>
        <v>1.1847585866446713E-4</v>
      </c>
      <c r="AI28" s="97">
        <f t="shared" si="33"/>
        <v>2.0916465673496986E-4</v>
      </c>
    </row>
    <row r="29" spans="4:35" x14ac:dyDescent="0.35">
      <c r="U29">
        <f t="shared" si="31"/>
        <v>2030</v>
      </c>
      <c r="Y29" s="97">
        <f t="shared" si="32"/>
        <v>-5.3926123319531524E-4</v>
      </c>
      <c r="Z29" s="97">
        <f t="shared" si="32"/>
        <v>1.4860263197171851E-3</v>
      </c>
      <c r="AA29" s="97">
        <f t="shared" si="32"/>
        <v>2.7748456715705866E-3</v>
      </c>
      <c r="AB29" s="77">
        <f t="shared" si="32"/>
        <v>4.0636650234239886E-3</v>
      </c>
      <c r="AC29" s="97">
        <f t="shared" si="32"/>
        <v>5.4445429004097773E-3</v>
      </c>
      <c r="AE29" s="97">
        <f t="shared" si="33"/>
        <v>-5.3965030036273174E-5</v>
      </c>
      <c r="AF29" s="97">
        <f t="shared" si="33"/>
        <v>9.5671486780056435E-5</v>
      </c>
      <c r="AG29" s="97">
        <f t="shared" si="33"/>
        <v>1.9089472475408364E-4</v>
      </c>
      <c r="AH29" s="77">
        <f t="shared" si="33"/>
        <v>2.8611796272811095E-4</v>
      </c>
      <c r="AI29" s="97">
        <f t="shared" si="33"/>
        <v>3.8814286055742649E-4</v>
      </c>
    </row>
    <row r="30" spans="4:35" x14ac:dyDescent="0.35">
      <c r="Y30" s="97"/>
    </row>
    <row r="33" spans="14:35" x14ac:dyDescent="0.35">
      <c r="N33" s="102">
        <f>SUM(N5:N9)</f>
        <v>19981.295540408013</v>
      </c>
      <c r="O33" s="102">
        <f t="shared" ref="O33:P33" si="34">SUM(O5:O9)</f>
        <v>2559.9774060285167</v>
      </c>
      <c r="P33" s="102">
        <f t="shared" si="34"/>
        <v>1751.4312064629316</v>
      </c>
      <c r="Q33" s="102">
        <f>SUM(N33:P33)</f>
        <v>24292.70415289946</v>
      </c>
      <c r="Y33" s="102"/>
      <c r="Z33" s="102"/>
      <c r="AA33" s="102"/>
      <c r="AB33" s="102"/>
      <c r="AC33" s="102"/>
      <c r="AE33" s="102"/>
      <c r="AF33" s="102"/>
      <c r="AG33" s="102"/>
      <c r="AH33" s="102"/>
      <c r="AI33" s="102"/>
    </row>
    <row r="34" spans="14:35" x14ac:dyDescent="0.35">
      <c r="N34" s="102">
        <f>SUM(N10:N14)</f>
        <v>10609.777308988791</v>
      </c>
      <c r="O34" s="102">
        <f t="shared" ref="O34:P34" si="35">SUM(O10:O14)</f>
        <v>1359.3107683672611</v>
      </c>
      <c r="P34" s="102">
        <f t="shared" si="35"/>
        <v>929.98449650106249</v>
      </c>
      <c r="Q34" s="102">
        <f>SUM(N34:P34)</f>
        <v>12899.072573857113</v>
      </c>
      <c r="Y34" s="102"/>
      <c r="Z34" s="102"/>
      <c r="AA34" s="102"/>
      <c r="AB34" s="102"/>
      <c r="AC34" s="102"/>
      <c r="AE34" s="102"/>
      <c r="AF34" s="102"/>
      <c r="AG34" s="102"/>
      <c r="AH34" s="102"/>
      <c r="AI34" s="102"/>
    </row>
  </sheetData>
  <sheetProtection algorithmName="SHA-512" hashValue="OmP899yteD5WYFaMiAdjttYw/vHC/tlXSTfQUyK7daq4mS+rg4ed2ucwdTc3Dk8YFfIVWE/y2jSmoReyejntCg==" saltValue="71nSuumwf+ASJhCgpm2pOg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I156"/>
  <sheetViews>
    <sheetView topLeftCell="A79" workbookViewId="0">
      <selection activeCell="E109" sqref="E109"/>
    </sheetView>
  </sheetViews>
  <sheetFormatPr defaultColWidth="8" defaultRowHeight="11.5" x14ac:dyDescent="0.25"/>
  <cols>
    <col min="1" max="1" width="8" style="7"/>
    <col min="2" max="2" width="79.26953125" style="7" customWidth="1"/>
    <col min="3" max="34" width="15.7265625" style="7" customWidth="1"/>
    <col min="35" max="35" width="15.54296875" style="7" customWidth="1"/>
    <col min="36" max="36" width="9.1796875" style="7" customWidth="1"/>
    <col min="37" max="37" width="8.453125" style="7" customWidth="1"/>
    <col min="38" max="40" width="8.7265625" style="7" customWidth="1"/>
    <col min="41" max="41" width="8.54296875" style="7" customWidth="1"/>
    <col min="42" max="43" width="8.7265625" style="7" customWidth="1"/>
    <col min="44" max="44" width="9.26953125" style="7" customWidth="1"/>
    <col min="45" max="45" width="9.1796875" style="7" customWidth="1"/>
    <col min="46" max="46" width="8.7265625" style="7" customWidth="1"/>
    <col min="47" max="47" width="9.26953125" style="7" customWidth="1"/>
    <col min="48" max="48" width="9.81640625" style="7" customWidth="1"/>
    <col min="49" max="50" width="8.54296875" style="7" customWidth="1"/>
    <col min="51" max="53" width="9" style="7" customWidth="1"/>
    <col min="54" max="55" width="9.1796875" style="7" customWidth="1"/>
    <col min="56" max="56" width="9" style="7" customWidth="1"/>
    <col min="57" max="57" width="9.1796875" style="7" customWidth="1"/>
    <col min="58" max="58" width="8.54296875" style="7" customWidth="1"/>
    <col min="59" max="16384" width="8" style="7"/>
  </cols>
  <sheetData>
    <row r="1" spans="2:35" ht="17.25" customHeight="1" x14ac:dyDescent="0.25">
      <c r="B1" s="4" t="s">
        <v>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 t="s">
        <v>12</v>
      </c>
    </row>
    <row r="2" spans="2:35" ht="15.75" customHeight="1" x14ac:dyDescent="0.25">
      <c r="B2" s="4" t="s">
        <v>124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 t="s">
        <v>14</v>
      </c>
    </row>
    <row r="3" spans="2:35" ht="15.75" customHeight="1" x14ac:dyDescent="0.25">
      <c r="B3" s="4" t="s">
        <v>125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 t="s">
        <v>16</v>
      </c>
    </row>
    <row r="4" spans="2:35" ht="12.7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5"/>
    </row>
    <row r="5" spans="2:35" ht="53.25" customHeight="1" x14ac:dyDescent="0.25">
      <c r="B5" s="211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30" t="s">
        <v>49</v>
      </c>
      <c r="AI5" s="31"/>
    </row>
    <row r="6" spans="2:35" ht="12.75" customHeight="1" thickBot="1" x14ac:dyDescent="0.3">
      <c r="B6" s="212"/>
      <c r="C6" s="213" t="s">
        <v>126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12" t="s">
        <v>51</v>
      </c>
      <c r="AI6" s="31"/>
    </row>
    <row r="7" spans="2:35" ht="12" thickTop="1" x14ac:dyDescent="0.25">
      <c r="B7" s="32" t="s">
        <v>53</v>
      </c>
      <c r="C7" s="14">
        <v>30148.39588390784</v>
      </c>
      <c r="D7" s="14">
        <v>30148.39588390784</v>
      </c>
      <c r="E7" s="14">
        <v>31013.623779541897</v>
      </c>
      <c r="F7" s="14">
        <v>30963.643552309393</v>
      </c>
      <c r="G7" s="14">
        <v>31135.345222278549</v>
      </c>
      <c r="H7" s="14">
        <v>32107.296680387448</v>
      </c>
      <c r="I7" s="14">
        <v>32995.286967774569</v>
      </c>
      <c r="J7" s="14">
        <v>34539.267330391835</v>
      </c>
      <c r="K7" s="14">
        <v>35626.707063305897</v>
      </c>
      <c r="L7" s="14">
        <v>37763.93753881484</v>
      </c>
      <c r="M7" s="14">
        <v>39452.896670571354</v>
      </c>
      <c r="N7" s="14">
        <v>41738.761889955567</v>
      </c>
      <c r="O7" s="14">
        <v>43826.829006222186</v>
      </c>
      <c r="P7" s="14">
        <v>42629.94862364763</v>
      </c>
      <c r="Q7" s="14">
        <v>42603.482096160435</v>
      </c>
      <c r="R7" s="14">
        <v>43082.285379055895</v>
      </c>
      <c r="S7" s="14">
        <v>44971.153087239618</v>
      </c>
      <c r="T7" s="14">
        <v>44484.217654460379</v>
      </c>
      <c r="U7" s="14">
        <v>44423.577739090601</v>
      </c>
      <c r="V7" s="14">
        <v>44535.267509461541</v>
      </c>
      <c r="W7" s="14">
        <v>40095.011074137401</v>
      </c>
      <c r="X7" s="14">
        <v>39780.558017775584</v>
      </c>
      <c r="Y7" s="14">
        <v>36326.424431455875</v>
      </c>
      <c r="Z7" s="14">
        <v>36395.503627532198</v>
      </c>
      <c r="AA7" s="14">
        <v>35244.655222330191</v>
      </c>
      <c r="AB7" s="14">
        <v>34637.618619236338</v>
      </c>
      <c r="AC7" s="14">
        <v>36211.046574635562</v>
      </c>
      <c r="AD7" s="14">
        <v>37506.873401330136</v>
      </c>
      <c r="AE7" s="14">
        <v>36490.395212741241</v>
      </c>
      <c r="AF7" s="14">
        <v>36366.44978557073</v>
      </c>
      <c r="AG7" s="14">
        <v>34583.905999725917</v>
      </c>
      <c r="AH7" s="14">
        <v>14.712259096298</v>
      </c>
      <c r="AI7" s="31"/>
    </row>
    <row r="8" spans="2:35" x14ac:dyDescent="0.25">
      <c r="B8" s="16" t="s">
        <v>54</v>
      </c>
      <c r="C8" s="14">
        <v>30148.390263980655</v>
      </c>
      <c r="D8" s="14">
        <v>30148.390263980655</v>
      </c>
      <c r="E8" s="14">
        <v>31013.618019709851</v>
      </c>
      <c r="F8" s="14">
        <v>30963.637855558911</v>
      </c>
      <c r="G8" s="14">
        <v>31135.338709587628</v>
      </c>
      <c r="H8" s="14">
        <v>32107.290072683732</v>
      </c>
      <c r="I8" s="14">
        <v>32995.279157306031</v>
      </c>
      <c r="J8" s="14">
        <v>34539.254761497497</v>
      </c>
      <c r="K8" s="14">
        <v>35626.690420822713</v>
      </c>
      <c r="L8" s="14">
        <v>37763.915492721069</v>
      </c>
      <c r="M8" s="14">
        <v>39414.603981093642</v>
      </c>
      <c r="N8" s="14">
        <v>41738.72701722612</v>
      </c>
      <c r="O8" s="14">
        <v>43770.74034001612</v>
      </c>
      <c r="P8" s="14">
        <v>42629.907353672606</v>
      </c>
      <c r="Q8" s="14">
        <v>42603.440150468123</v>
      </c>
      <c r="R8" s="14">
        <v>43082.24047229506</v>
      </c>
      <c r="S8" s="14">
        <v>44971.11296057039</v>
      </c>
      <c r="T8" s="14">
        <v>44484.171189258857</v>
      </c>
      <c r="U8" s="14">
        <v>44423.520337799666</v>
      </c>
      <c r="V8" s="14">
        <v>44535.209674759979</v>
      </c>
      <c r="W8" s="14">
        <v>40094.949956323355</v>
      </c>
      <c r="X8" s="14">
        <v>39780.485034163496</v>
      </c>
      <c r="Y8" s="14">
        <v>36326.362038340005</v>
      </c>
      <c r="Z8" s="14">
        <v>36395.448344642762</v>
      </c>
      <c r="AA8" s="14">
        <v>35244.60320171358</v>
      </c>
      <c r="AB8" s="14">
        <v>34637.573981291382</v>
      </c>
      <c r="AC8" s="14">
        <v>36210.641514649331</v>
      </c>
      <c r="AD8" s="14">
        <v>37505.5060251635</v>
      </c>
      <c r="AE8" s="14">
        <v>36485.635049410535</v>
      </c>
      <c r="AF8" s="14">
        <v>36366.24503389273</v>
      </c>
      <c r="AG8" s="14">
        <v>34583.629684126914</v>
      </c>
      <c r="AH8" s="14">
        <v>14.711363961097</v>
      </c>
      <c r="AI8" s="31"/>
    </row>
    <row r="9" spans="2:35" x14ac:dyDescent="0.25">
      <c r="B9" s="17" t="s">
        <v>55</v>
      </c>
      <c r="C9" s="18">
        <v>11145.005786696194</v>
      </c>
      <c r="D9" s="18">
        <v>11145.005786696194</v>
      </c>
      <c r="E9" s="18">
        <v>11604.430865667693</v>
      </c>
      <c r="F9" s="18">
        <v>12263.687310170842</v>
      </c>
      <c r="G9" s="18">
        <v>12282.23665026876</v>
      </c>
      <c r="H9" s="18">
        <v>12618.224454658462</v>
      </c>
      <c r="I9" s="18">
        <v>13301.41904815184</v>
      </c>
      <c r="J9" s="18">
        <v>14016.854271602871</v>
      </c>
      <c r="K9" s="18">
        <v>14674.02945974785</v>
      </c>
      <c r="L9" s="18">
        <v>15057.144653466072</v>
      </c>
      <c r="M9" s="18">
        <v>15713.092468204477</v>
      </c>
      <c r="N9" s="18">
        <v>16028.394761676103</v>
      </c>
      <c r="O9" s="18">
        <v>17238.997530376397</v>
      </c>
      <c r="P9" s="18">
        <v>16314.635502591364</v>
      </c>
      <c r="Q9" s="18">
        <v>15610.986166926536</v>
      </c>
      <c r="R9" s="18">
        <v>15234.545302173101</v>
      </c>
      <c r="S9" s="18">
        <v>15719.019821003165</v>
      </c>
      <c r="T9" s="18">
        <v>14959.15164733995</v>
      </c>
      <c r="U9" s="18">
        <v>14458.892961994543</v>
      </c>
      <c r="V9" s="18">
        <v>14559.131304098029</v>
      </c>
      <c r="W9" s="18">
        <v>12973.616459700277</v>
      </c>
      <c r="X9" s="18">
        <v>13229.284146898501</v>
      </c>
      <c r="Y9" s="18">
        <v>11842.738436050577</v>
      </c>
      <c r="Z9" s="18">
        <v>12668.912709922737</v>
      </c>
      <c r="AA9" s="18">
        <v>11303.123342385612</v>
      </c>
      <c r="AB9" s="18">
        <v>11120.967695212919</v>
      </c>
      <c r="AC9" s="18">
        <v>11746.679422423265</v>
      </c>
      <c r="AD9" s="19">
        <v>12442.306420370131</v>
      </c>
      <c r="AE9" s="19">
        <v>11670.178151500719</v>
      </c>
      <c r="AF9" s="19">
        <v>10398.941317804389</v>
      </c>
      <c r="AG9" s="19">
        <v>9217.9651747625867</v>
      </c>
      <c r="AH9" s="18">
        <v>-17.290620111062999</v>
      </c>
      <c r="AI9" s="31"/>
    </row>
    <row r="10" spans="2:35" x14ac:dyDescent="0.25">
      <c r="B10" s="17" t="s">
        <v>56</v>
      </c>
      <c r="C10" s="18">
        <v>4078.2372777494325</v>
      </c>
      <c r="D10" s="18">
        <v>4078.2372777494325</v>
      </c>
      <c r="E10" s="18">
        <v>4166.2449923580834</v>
      </c>
      <c r="F10" s="18">
        <v>3845.8652437488945</v>
      </c>
      <c r="G10" s="18">
        <v>4053.9186393694345</v>
      </c>
      <c r="H10" s="18">
        <v>4294.6717762571125</v>
      </c>
      <c r="I10" s="18">
        <v>4313.4749930639146</v>
      </c>
      <c r="J10" s="18">
        <v>4179.472888514837</v>
      </c>
      <c r="K10" s="18">
        <v>4522.118765354624</v>
      </c>
      <c r="L10" s="18">
        <v>4503.8718883142637</v>
      </c>
      <c r="M10" s="18">
        <v>4673.8488858308856</v>
      </c>
      <c r="N10" s="18">
        <v>5455.6314941050041</v>
      </c>
      <c r="O10" s="18">
        <v>5419.5077684948537</v>
      </c>
      <c r="P10" s="18">
        <v>5083.5523441446903</v>
      </c>
      <c r="Q10" s="18">
        <v>5196.8447384771098</v>
      </c>
      <c r="R10" s="18">
        <v>5265.5144696745156</v>
      </c>
      <c r="S10" s="18">
        <v>5441.110198890703</v>
      </c>
      <c r="T10" s="18">
        <v>5231.9413026927496</v>
      </c>
      <c r="U10" s="18">
        <v>5320.6728623742829</v>
      </c>
      <c r="V10" s="18">
        <v>5132.336523594945</v>
      </c>
      <c r="W10" s="18">
        <v>4113.7253781825948</v>
      </c>
      <c r="X10" s="18">
        <v>4141.8290549692365</v>
      </c>
      <c r="Y10" s="18">
        <v>3670.4149715625776</v>
      </c>
      <c r="Z10" s="18">
        <v>3739.2536330865396</v>
      </c>
      <c r="AA10" s="18">
        <v>3902.2404000790671</v>
      </c>
      <c r="AB10" s="18">
        <v>4157.8350550464138</v>
      </c>
      <c r="AC10" s="18">
        <v>4239.8364887387797</v>
      </c>
      <c r="AD10" s="19">
        <v>4331.5599482175439</v>
      </c>
      <c r="AE10" s="19">
        <v>4439.7044223331204</v>
      </c>
      <c r="AF10" s="19">
        <v>4662.0251866544868</v>
      </c>
      <c r="AG10" s="19">
        <v>4567.7695052441386</v>
      </c>
      <c r="AH10" s="18">
        <v>12.003524909293001</v>
      </c>
      <c r="AI10" s="31"/>
    </row>
    <row r="11" spans="2:35" x14ac:dyDescent="0.25">
      <c r="B11" s="17" t="s">
        <v>57</v>
      </c>
      <c r="C11" s="18">
        <v>5029.8143615790514</v>
      </c>
      <c r="D11" s="18">
        <v>5029.8143615790514</v>
      </c>
      <c r="E11" s="18">
        <v>5207.6552768157671</v>
      </c>
      <c r="F11" s="18">
        <v>5622.0130167481539</v>
      </c>
      <c r="G11" s="18">
        <v>5583.821694294169</v>
      </c>
      <c r="H11" s="18">
        <v>5805.956070382349</v>
      </c>
      <c r="I11" s="18">
        <v>6059.0869150446688</v>
      </c>
      <c r="J11" s="18">
        <v>7027.5449386946866</v>
      </c>
      <c r="K11" s="18">
        <v>7348.1884964627106</v>
      </c>
      <c r="L11" s="18">
        <v>8620.9207994622484</v>
      </c>
      <c r="M11" s="18">
        <v>9533.8043180266959</v>
      </c>
      <c r="N11" s="18">
        <v>10562.167041217335</v>
      </c>
      <c r="O11" s="18">
        <v>11079.39332366397</v>
      </c>
      <c r="P11" s="18">
        <v>11279.489910931379</v>
      </c>
      <c r="Q11" s="18">
        <v>11489.428789398011</v>
      </c>
      <c r="R11" s="18">
        <v>12209.81178094699</v>
      </c>
      <c r="S11" s="18">
        <v>12922.656408457362</v>
      </c>
      <c r="T11" s="18">
        <v>13606.75120337977</v>
      </c>
      <c r="U11" s="18">
        <v>14204.377105532107</v>
      </c>
      <c r="V11" s="18">
        <v>13518.845505826266</v>
      </c>
      <c r="W11" s="18">
        <v>12313.407379016895</v>
      </c>
      <c r="X11" s="18">
        <v>11408.176935683261</v>
      </c>
      <c r="Y11" s="18">
        <v>11101.360708198141</v>
      </c>
      <c r="Z11" s="18">
        <v>10717.207415559811</v>
      </c>
      <c r="AA11" s="18">
        <v>10948.63780573172</v>
      </c>
      <c r="AB11" s="18">
        <v>11228.957096812113</v>
      </c>
      <c r="AC11" s="18">
        <v>11689.596897237137</v>
      </c>
      <c r="AD11" s="19">
        <v>12165.172066106057</v>
      </c>
      <c r="AE11" s="19">
        <v>11887.708839093237</v>
      </c>
      <c r="AF11" s="19">
        <v>12084.202069245051</v>
      </c>
      <c r="AG11" s="19">
        <v>12045.94360404263</v>
      </c>
      <c r="AH11" s="18">
        <v>139.49081890690201</v>
      </c>
      <c r="AI11" s="31"/>
    </row>
    <row r="12" spans="2:35" x14ac:dyDescent="0.25">
      <c r="B12" s="17" t="s">
        <v>58</v>
      </c>
      <c r="C12" s="18">
        <v>9895.3328379559771</v>
      </c>
      <c r="D12" s="18">
        <v>9895.3328379559771</v>
      </c>
      <c r="E12" s="18">
        <v>10035.286884868308</v>
      </c>
      <c r="F12" s="18">
        <v>9232.0722848910227</v>
      </c>
      <c r="G12" s="18">
        <v>9215.3617256552661</v>
      </c>
      <c r="H12" s="18">
        <v>9388.4377713858084</v>
      </c>
      <c r="I12" s="18">
        <v>9321.2982010456089</v>
      </c>
      <c r="J12" s="18">
        <v>9315.3826626850987</v>
      </c>
      <c r="K12" s="18">
        <v>9082.3536992575264</v>
      </c>
      <c r="L12" s="18">
        <v>9581.9781514784881</v>
      </c>
      <c r="M12" s="18">
        <v>9493.858309031586</v>
      </c>
      <c r="N12" s="18">
        <v>9692.5337202276751</v>
      </c>
      <c r="O12" s="18">
        <v>10032.8417174809</v>
      </c>
      <c r="P12" s="18">
        <v>9952.2295960051761</v>
      </c>
      <c r="Q12" s="18">
        <v>10306.180455666468</v>
      </c>
      <c r="R12" s="18">
        <v>10372.368919500459</v>
      </c>
      <c r="S12" s="18">
        <v>10888.32653221916</v>
      </c>
      <c r="T12" s="18">
        <v>10686.327035846389</v>
      </c>
      <c r="U12" s="18">
        <v>10439.577407898732</v>
      </c>
      <c r="V12" s="18">
        <v>11324.896341240737</v>
      </c>
      <c r="W12" s="18">
        <v>10694.200739423584</v>
      </c>
      <c r="X12" s="18">
        <v>11001.194896612498</v>
      </c>
      <c r="Y12" s="18">
        <v>9711.8479225287119</v>
      </c>
      <c r="Z12" s="18">
        <v>9270.0745860736752</v>
      </c>
      <c r="AA12" s="18">
        <v>9090.6016535171802</v>
      </c>
      <c r="AB12" s="18">
        <v>8129.814134219936</v>
      </c>
      <c r="AC12" s="18">
        <v>8534.5287062501484</v>
      </c>
      <c r="AD12" s="19">
        <v>8566.4675904697669</v>
      </c>
      <c r="AE12" s="19">
        <v>8488.0436364834586</v>
      </c>
      <c r="AF12" s="19">
        <v>9221.0764601888059</v>
      </c>
      <c r="AG12" s="19">
        <v>8751.951400077558</v>
      </c>
      <c r="AH12" s="18">
        <v>-11.554754717221</v>
      </c>
      <c r="AI12" s="31"/>
    </row>
    <row r="13" spans="2:35" x14ac:dyDescent="0.25">
      <c r="B13" s="17" t="s">
        <v>59</v>
      </c>
      <c r="C13" s="18" t="s">
        <v>60</v>
      </c>
      <c r="D13" s="18" t="s">
        <v>60</v>
      </c>
      <c r="E13" s="18" t="s">
        <v>60</v>
      </c>
      <c r="F13" s="18" t="s">
        <v>60</v>
      </c>
      <c r="G13" s="18" t="s">
        <v>60</v>
      </c>
      <c r="H13" s="18" t="s">
        <v>60</v>
      </c>
      <c r="I13" s="18" t="s">
        <v>60</v>
      </c>
      <c r="J13" s="18" t="s">
        <v>60</v>
      </c>
      <c r="K13" s="18" t="s">
        <v>60</v>
      </c>
      <c r="L13" s="18" t="s">
        <v>60</v>
      </c>
      <c r="M13" s="18" t="s">
        <v>60</v>
      </c>
      <c r="N13" s="18" t="s">
        <v>60</v>
      </c>
      <c r="O13" s="18" t="s">
        <v>60</v>
      </c>
      <c r="P13" s="18" t="s">
        <v>60</v>
      </c>
      <c r="Q13" s="18" t="s">
        <v>60</v>
      </c>
      <c r="R13" s="18" t="s">
        <v>60</v>
      </c>
      <c r="S13" s="18" t="s">
        <v>60</v>
      </c>
      <c r="T13" s="18" t="s">
        <v>60</v>
      </c>
      <c r="U13" s="18" t="s">
        <v>60</v>
      </c>
      <c r="V13" s="18" t="s">
        <v>60</v>
      </c>
      <c r="W13" s="18" t="s">
        <v>60</v>
      </c>
      <c r="X13" s="18" t="s">
        <v>60</v>
      </c>
      <c r="Y13" s="18" t="s">
        <v>60</v>
      </c>
      <c r="Z13" s="18" t="s">
        <v>60</v>
      </c>
      <c r="AA13" s="18" t="s">
        <v>60</v>
      </c>
      <c r="AB13" s="18" t="s">
        <v>60</v>
      </c>
      <c r="AC13" s="18" t="s">
        <v>60</v>
      </c>
      <c r="AD13" s="19" t="s">
        <v>60</v>
      </c>
      <c r="AE13" s="19" t="s">
        <v>60</v>
      </c>
      <c r="AF13" s="19" t="s">
        <v>60</v>
      </c>
      <c r="AG13" s="19" t="s">
        <v>60</v>
      </c>
      <c r="AH13" s="18">
        <v>0</v>
      </c>
      <c r="AI13" s="31"/>
    </row>
    <row r="14" spans="2:35" x14ac:dyDescent="0.25">
      <c r="B14" s="16" t="s">
        <v>61</v>
      </c>
      <c r="C14" s="14">
        <v>5.6199271862800004E-3</v>
      </c>
      <c r="D14" s="14">
        <v>5.6199271862800004E-3</v>
      </c>
      <c r="E14" s="14">
        <v>5.7598320448599997E-3</v>
      </c>
      <c r="F14" s="14">
        <v>5.6967504807599999E-3</v>
      </c>
      <c r="G14" s="14">
        <v>6.5126909199499997E-3</v>
      </c>
      <c r="H14" s="14">
        <v>6.6077037159199999E-3</v>
      </c>
      <c r="I14" s="14">
        <v>7.8104685396699998E-3</v>
      </c>
      <c r="J14" s="14">
        <v>1.2568894338520001E-2</v>
      </c>
      <c r="K14" s="14">
        <v>1.6642483189699998E-2</v>
      </c>
      <c r="L14" s="14">
        <v>2.204609376968E-2</v>
      </c>
      <c r="M14" s="14">
        <v>38.292689477712678</v>
      </c>
      <c r="N14" s="14">
        <v>3.487272944685E-2</v>
      </c>
      <c r="O14" s="14">
        <v>56.088666206062818</v>
      </c>
      <c r="P14" s="14">
        <v>4.1269975018589998E-2</v>
      </c>
      <c r="Q14" s="14">
        <v>4.1945692312060003E-2</v>
      </c>
      <c r="R14" s="14">
        <v>4.4906760831580003E-2</v>
      </c>
      <c r="S14" s="14">
        <v>4.0126669228179999E-2</v>
      </c>
      <c r="T14" s="14">
        <v>4.6465201520019997E-2</v>
      </c>
      <c r="U14" s="14">
        <v>5.7401290932859998E-2</v>
      </c>
      <c r="V14" s="14">
        <v>5.7834701561149997E-2</v>
      </c>
      <c r="W14" s="14">
        <v>6.1117814051660002E-2</v>
      </c>
      <c r="X14" s="14">
        <v>7.2983612085980004E-2</v>
      </c>
      <c r="Y14" s="14">
        <v>6.2393115870050003E-2</v>
      </c>
      <c r="Z14" s="14">
        <v>5.5282889432500003E-2</v>
      </c>
      <c r="AA14" s="14">
        <v>5.2020616612560001E-2</v>
      </c>
      <c r="AB14" s="14">
        <v>4.4637944954730002E-2</v>
      </c>
      <c r="AC14" s="14">
        <v>0.40505998623209999</v>
      </c>
      <c r="AD14" s="14">
        <v>1.36737616663434</v>
      </c>
      <c r="AE14" s="14">
        <v>4.7601633307059696</v>
      </c>
      <c r="AF14" s="14">
        <v>0.20475167800075</v>
      </c>
      <c r="AG14" s="14">
        <v>0.27631559900163999</v>
      </c>
      <c r="AH14" s="14">
        <v>4816.7113708557081</v>
      </c>
      <c r="AI14" s="31"/>
    </row>
    <row r="15" spans="2:35" x14ac:dyDescent="0.25">
      <c r="B15" s="17" t="s">
        <v>62</v>
      </c>
      <c r="C15" s="18" t="s">
        <v>65</v>
      </c>
      <c r="D15" s="18" t="s">
        <v>65</v>
      </c>
      <c r="E15" s="18" t="s">
        <v>65</v>
      </c>
      <c r="F15" s="18" t="s">
        <v>65</v>
      </c>
      <c r="G15" s="18" t="s">
        <v>65</v>
      </c>
      <c r="H15" s="18" t="s">
        <v>65</v>
      </c>
      <c r="I15" s="18" t="s">
        <v>65</v>
      </c>
      <c r="J15" s="18" t="s">
        <v>65</v>
      </c>
      <c r="K15" s="18" t="s">
        <v>65</v>
      </c>
      <c r="L15" s="18" t="s">
        <v>65</v>
      </c>
      <c r="M15" s="18" t="s">
        <v>65</v>
      </c>
      <c r="N15" s="18" t="s">
        <v>65</v>
      </c>
      <c r="O15" s="18" t="s">
        <v>65</v>
      </c>
      <c r="P15" s="18" t="s">
        <v>65</v>
      </c>
      <c r="Q15" s="18" t="s">
        <v>65</v>
      </c>
      <c r="R15" s="18" t="s">
        <v>65</v>
      </c>
      <c r="S15" s="18" t="s">
        <v>65</v>
      </c>
      <c r="T15" s="18" t="s">
        <v>65</v>
      </c>
      <c r="U15" s="18" t="s">
        <v>65</v>
      </c>
      <c r="V15" s="18" t="s">
        <v>65</v>
      </c>
      <c r="W15" s="18" t="s">
        <v>65</v>
      </c>
      <c r="X15" s="18" t="s">
        <v>65</v>
      </c>
      <c r="Y15" s="18" t="s">
        <v>65</v>
      </c>
      <c r="Z15" s="18" t="s">
        <v>65</v>
      </c>
      <c r="AA15" s="18" t="s">
        <v>65</v>
      </c>
      <c r="AB15" s="18" t="s">
        <v>65</v>
      </c>
      <c r="AC15" s="18" t="s">
        <v>65</v>
      </c>
      <c r="AD15" s="19" t="s">
        <v>65</v>
      </c>
      <c r="AE15" s="19" t="s">
        <v>65</v>
      </c>
      <c r="AF15" s="19" t="s">
        <v>65</v>
      </c>
      <c r="AG15" s="19" t="s">
        <v>65</v>
      </c>
      <c r="AH15" s="18">
        <v>0</v>
      </c>
      <c r="AI15" s="31"/>
    </row>
    <row r="16" spans="2:35" x14ac:dyDescent="0.25">
      <c r="B16" s="17" t="s">
        <v>63</v>
      </c>
      <c r="C16" s="18">
        <v>5.6199271862800004E-3</v>
      </c>
      <c r="D16" s="18">
        <v>5.6199271862800004E-3</v>
      </c>
      <c r="E16" s="18">
        <v>5.7598320448599997E-3</v>
      </c>
      <c r="F16" s="18">
        <v>5.6967504807599999E-3</v>
      </c>
      <c r="G16" s="18">
        <v>6.5126909199499997E-3</v>
      </c>
      <c r="H16" s="18">
        <v>6.6077037159199999E-3</v>
      </c>
      <c r="I16" s="18">
        <v>7.8104685396699998E-3</v>
      </c>
      <c r="J16" s="18">
        <v>1.2568894338520001E-2</v>
      </c>
      <c r="K16" s="18">
        <v>1.6642483189699998E-2</v>
      </c>
      <c r="L16" s="18">
        <v>2.204609376968E-2</v>
      </c>
      <c r="M16" s="18">
        <v>38.292689477712678</v>
      </c>
      <c r="N16" s="18">
        <v>3.487272944685E-2</v>
      </c>
      <c r="O16" s="18">
        <v>56.088666206062818</v>
      </c>
      <c r="P16" s="18">
        <v>4.1269975018589998E-2</v>
      </c>
      <c r="Q16" s="18">
        <v>4.1945692312060003E-2</v>
      </c>
      <c r="R16" s="18">
        <v>4.4906760831580003E-2</v>
      </c>
      <c r="S16" s="18">
        <v>4.0126669228179999E-2</v>
      </c>
      <c r="T16" s="18">
        <v>4.6465201520019997E-2</v>
      </c>
      <c r="U16" s="18">
        <v>5.7401290932859998E-2</v>
      </c>
      <c r="V16" s="18">
        <v>5.7834701561149997E-2</v>
      </c>
      <c r="W16" s="18">
        <v>6.1117814051660002E-2</v>
      </c>
      <c r="X16" s="18">
        <v>7.2983612085980004E-2</v>
      </c>
      <c r="Y16" s="18">
        <v>6.2393115870050003E-2</v>
      </c>
      <c r="Z16" s="18">
        <v>5.5282889432500003E-2</v>
      </c>
      <c r="AA16" s="18">
        <v>5.2020616612560001E-2</v>
      </c>
      <c r="AB16" s="18">
        <v>4.4637944954730002E-2</v>
      </c>
      <c r="AC16" s="18">
        <v>0.40505998623209999</v>
      </c>
      <c r="AD16" s="19">
        <v>1.36737616663434</v>
      </c>
      <c r="AE16" s="19">
        <v>4.7601633307059696</v>
      </c>
      <c r="AF16" s="19">
        <v>0.20475167800075</v>
      </c>
      <c r="AG16" s="19">
        <v>0.27631559900163999</v>
      </c>
      <c r="AH16" s="18">
        <v>4816.7113708557081</v>
      </c>
      <c r="AI16" s="31"/>
    </row>
    <row r="17" spans="2:35" ht="13.5" x14ac:dyDescent="0.25">
      <c r="B17" s="20" t="s">
        <v>64</v>
      </c>
      <c r="C17" s="18" t="s">
        <v>65</v>
      </c>
      <c r="D17" s="18" t="s">
        <v>65</v>
      </c>
      <c r="E17" s="18" t="s">
        <v>65</v>
      </c>
      <c r="F17" s="18" t="s">
        <v>65</v>
      </c>
      <c r="G17" s="18" t="s">
        <v>65</v>
      </c>
      <c r="H17" s="18" t="s">
        <v>65</v>
      </c>
      <c r="I17" s="18" t="s">
        <v>65</v>
      </c>
      <c r="J17" s="18" t="s">
        <v>65</v>
      </c>
      <c r="K17" s="18" t="s">
        <v>65</v>
      </c>
      <c r="L17" s="18" t="s">
        <v>65</v>
      </c>
      <c r="M17" s="18" t="s">
        <v>65</v>
      </c>
      <c r="N17" s="18" t="s">
        <v>65</v>
      </c>
      <c r="O17" s="18" t="s">
        <v>65</v>
      </c>
      <c r="P17" s="18" t="s">
        <v>65</v>
      </c>
      <c r="Q17" s="18" t="s">
        <v>65</v>
      </c>
      <c r="R17" s="18" t="s">
        <v>65</v>
      </c>
      <c r="S17" s="18" t="s">
        <v>65</v>
      </c>
      <c r="T17" s="18" t="s">
        <v>65</v>
      </c>
      <c r="U17" s="18" t="s">
        <v>65</v>
      </c>
      <c r="V17" s="18" t="s">
        <v>65</v>
      </c>
      <c r="W17" s="18" t="s">
        <v>65</v>
      </c>
      <c r="X17" s="18" t="s">
        <v>65</v>
      </c>
      <c r="Y17" s="18" t="s">
        <v>65</v>
      </c>
      <c r="Z17" s="18" t="s">
        <v>65</v>
      </c>
      <c r="AA17" s="18" t="s">
        <v>65</v>
      </c>
      <c r="AB17" s="18" t="s">
        <v>65</v>
      </c>
      <c r="AC17" s="18" t="s">
        <v>65</v>
      </c>
      <c r="AD17" s="19" t="s">
        <v>65</v>
      </c>
      <c r="AE17" s="19" t="s">
        <v>65</v>
      </c>
      <c r="AF17" s="19" t="s">
        <v>65</v>
      </c>
      <c r="AG17" s="19" t="s">
        <v>65</v>
      </c>
      <c r="AH17" s="18">
        <v>0</v>
      </c>
      <c r="AI17" s="31"/>
    </row>
    <row r="18" spans="2:35" x14ac:dyDescent="0.25">
      <c r="B18" s="15" t="s">
        <v>127</v>
      </c>
      <c r="C18" s="14">
        <v>2247.9083382448962</v>
      </c>
      <c r="D18" s="14">
        <v>2247.9083382448962</v>
      </c>
      <c r="E18" s="14">
        <v>2149.3955053713562</v>
      </c>
      <c r="F18" s="14">
        <v>2060.7584283860242</v>
      </c>
      <c r="G18" s="14">
        <v>2025.9052402071204</v>
      </c>
      <c r="H18" s="14">
        <v>2264.2533277103703</v>
      </c>
      <c r="I18" s="14">
        <v>2177.8933593509414</v>
      </c>
      <c r="J18" s="14">
        <v>2259.8395951630423</v>
      </c>
      <c r="K18" s="14">
        <v>2588.9217628667802</v>
      </c>
      <c r="L18" s="14">
        <v>2478.6548793819634</v>
      </c>
      <c r="M18" s="14">
        <v>2427.8702761272552</v>
      </c>
      <c r="N18" s="14">
        <v>2974.7723976930256</v>
      </c>
      <c r="O18" s="14">
        <v>3225.7812704602479</v>
      </c>
      <c r="P18" s="14">
        <v>2987.8870262702694</v>
      </c>
      <c r="Q18" s="14">
        <v>2461.2841325794016</v>
      </c>
      <c r="R18" s="14">
        <v>2632.2625467727762</v>
      </c>
      <c r="S18" s="14">
        <v>2728.5997346482745</v>
      </c>
      <c r="T18" s="14">
        <v>2674.1130714564529</v>
      </c>
      <c r="U18" s="14">
        <v>2729.4120649658385</v>
      </c>
      <c r="V18" s="14">
        <v>2434.2152653255266</v>
      </c>
      <c r="W18" s="14">
        <v>1619.4837891554298</v>
      </c>
      <c r="X18" s="14">
        <v>1426.1635223089688</v>
      </c>
      <c r="Y18" s="14">
        <v>1296.105553461364</v>
      </c>
      <c r="Z18" s="14">
        <v>1523.1287945932675</v>
      </c>
      <c r="AA18" s="14">
        <v>1439.7697167845383</v>
      </c>
      <c r="AB18" s="14">
        <v>1784.6437945852429</v>
      </c>
      <c r="AC18" s="14">
        <v>1969.4641947589685</v>
      </c>
      <c r="AD18" s="14">
        <v>2111.5714115534483</v>
      </c>
      <c r="AE18" s="14">
        <v>2199.2530907521673</v>
      </c>
      <c r="AF18" s="14">
        <v>2255.3945902014993</v>
      </c>
      <c r="AG18" s="14">
        <v>2223.5625124639746</v>
      </c>
      <c r="AH18" s="14">
        <v>-1.0830435283640001</v>
      </c>
      <c r="AI18" s="31"/>
    </row>
    <row r="19" spans="2:35" x14ac:dyDescent="0.25">
      <c r="B19" s="20" t="s">
        <v>67</v>
      </c>
      <c r="C19" s="18">
        <v>1116.7254085014333</v>
      </c>
      <c r="D19" s="18">
        <v>1116.7254085014333</v>
      </c>
      <c r="E19" s="18">
        <v>992.38939661731524</v>
      </c>
      <c r="F19" s="18">
        <v>932.96808506651939</v>
      </c>
      <c r="G19" s="18">
        <v>951.12593750870883</v>
      </c>
      <c r="H19" s="18">
        <v>1081.7022655246876</v>
      </c>
      <c r="I19" s="18">
        <v>1084.1810327260132</v>
      </c>
      <c r="J19" s="18">
        <v>1198.387083175485</v>
      </c>
      <c r="K19" s="18">
        <v>1384.9248481927566</v>
      </c>
      <c r="L19" s="18">
        <v>1288.1260716317765</v>
      </c>
      <c r="M19" s="18">
        <v>1353.709634567598</v>
      </c>
      <c r="N19" s="18">
        <v>1908.7841314126661</v>
      </c>
      <c r="O19" s="18">
        <v>2061.4371933464076</v>
      </c>
      <c r="P19" s="18">
        <v>2063.3791229426015</v>
      </c>
      <c r="Q19" s="18">
        <v>2342.3181160836975</v>
      </c>
      <c r="R19" s="18">
        <v>2507.0626593013171</v>
      </c>
      <c r="S19" s="18">
        <v>2552.7953464691873</v>
      </c>
      <c r="T19" s="18">
        <v>2538.7434105910074</v>
      </c>
      <c r="U19" s="18">
        <v>2580.4341213620519</v>
      </c>
      <c r="V19" s="18">
        <v>2301.5837453875524</v>
      </c>
      <c r="W19" s="18">
        <v>1485.322669481403</v>
      </c>
      <c r="X19" s="18">
        <v>1299.0484147465629</v>
      </c>
      <c r="Y19" s="18">
        <v>1167.2705389694756</v>
      </c>
      <c r="Z19" s="18">
        <v>1391.9677990924163</v>
      </c>
      <c r="AA19" s="18">
        <v>1301.6950015306572</v>
      </c>
      <c r="AB19" s="18">
        <v>1650.4531530457712</v>
      </c>
      <c r="AC19" s="18">
        <v>1830.3635214124336</v>
      </c>
      <c r="AD19" s="19">
        <v>1968.4013520332232</v>
      </c>
      <c r="AE19" s="19">
        <v>2039.8562560230894</v>
      </c>
      <c r="AF19" s="19">
        <v>2094.5489797619252</v>
      </c>
      <c r="AG19" s="19">
        <v>2057.6690466445225</v>
      </c>
      <c r="AH19" s="18">
        <v>84.259176963276005</v>
      </c>
      <c r="AI19" s="31"/>
    </row>
    <row r="20" spans="2:35" x14ac:dyDescent="0.25">
      <c r="B20" s="20" t="s">
        <v>68</v>
      </c>
      <c r="C20" s="18">
        <v>990.23349783919502</v>
      </c>
      <c r="D20" s="18">
        <v>990.23349783919502</v>
      </c>
      <c r="E20" s="18">
        <v>1030.3165009289501</v>
      </c>
      <c r="F20" s="18">
        <v>1003.56146796422</v>
      </c>
      <c r="G20" s="18">
        <v>946.18678616206898</v>
      </c>
      <c r="H20" s="18">
        <v>1056.62561667761</v>
      </c>
      <c r="I20" s="18">
        <v>973.43728270022302</v>
      </c>
      <c r="J20" s="18">
        <v>922.85045185393994</v>
      </c>
      <c r="K20" s="18">
        <v>1073.1245536725301</v>
      </c>
      <c r="L20" s="18">
        <v>1058.8056564006599</v>
      </c>
      <c r="M20" s="18">
        <v>942.81763386280602</v>
      </c>
      <c r="N20" s="18">
        <v>882.29996346142298</v>
      </c>
      <c r="O20" s="18">
        <v>1041.1841868890499</v>
      </c>
      <c r="P20" s="18">
        <v>810.90056385501396</v>
      </c>
      <c r="Q20" s="18">
        <v>0.29746752765364998</v>
      </c>
      <c r="R20" s="18" t="s">
        <v>65</v>
      </c>
      <c r="S20" s="18" t="s">
        <v>65</v>
      </c>
      <c r="T20" s="18" t="s">
        <v>65</v>
      </c>
      <c r="U20" s="18" t="s">
        <v>65</v>
      </c>
      <c r="V20" s="18" t="s">
        <v>65</v>
      </c>
      <c r="W20" s="18" t="s">
        <v>65</v>
      </c>
      <c r="X20" s="18" t="s">
        <v>65</v>
      </c>
      <c r="Y20" s="18" t="s">
        <v>65</v>
      </c>
      <c r="Z20" s="18" t="s">
        <v>65</v>
      </c>
      <c r="AA20" s="18" t="s">
        <v>65</v>
      </c>
      <c r="AB20" s="18" t="s">
        <v>65</v>
      </c>
      <c r="AC20" s="18" t="s">
        <v>65</v>
      </c>
      <c r="AD20" s="19" t="s">
        <v>65</v>
      </c>
      <c r="AE20" s="19" t="s">
        <v>65</v>
      </c>
      <c r="AF20" s="19" t="s">
        <v>65</v>
      </c>
      <c r="AG20" s="19" t="s">
        <v>65</v>
      </c>
      <c r="AH20" s="18" t="s">
        <v>69</v>
      </c>
      <c r="AI20" s="31"/>
    </row>
    <row r="21" spans="2:35" x14ac:dyDescent="0.25">
      <c r="B21" s="20" t="s">
        <v>70</v>
      </c>
      <c r="C21" s="18">
        <v>26.08</v>
      </c>
      <c r="D21" s="18">
        <v>26.08</v>
      </c>
      <c r="E21" s="18">
        <v>23.44</v>
      </c>
      <c r="F21" s="18">
        <v>20.56</v>
      </c>
      <c r="G21" s="18">
        <v>26.08</v>
      </c>
      <c r="H21" s="18">
        <v>21.28</v>
      </c>
      <c r="I21" s="18">
        <v>24.8</v>
      </c>
      <c r="J21" s="18">
        <v>27.28</v>
      </c>
      <c r="K21" s="18">
        <v>26.96</v>
      </c>
      <c r="L21" s="18">
        <v>28.64</v>
      </c>
      <c r="M21" s="18">
        <v>26.8</v>
      </c>
      <c r="N21" s="18">
        <v>28.8</v>
      </c>
      <c r="O21" s="18">
        <v>12</v>
      </c>
      <c r="P21" s="18" t="s">
        <v>65</v>
      </c>
      <c r="Q21" s="18" t="s">
        <v>65</v>
      </c>
      <c r="R21" s="18" t="s">
        <v>65</v>
      </c>
      <c r="S21" s="18" t="s">
        <v>65</v>
      </c>
      <c r="T21" s="18" t="s">
        <v>65</v>
      </c>
      <c r="U21" s="18" t="s">
        <v>65</v>
      </c>
      <c r="V21" s="18" t="s">
        <v>65</v>
      </c>
      <c r="W21" s="18" t="s">
        <v>65</v>
      </c>
      <c r="X21" s="18" t="s">
        <v>65</v>
      </c>
      <c r="Y21" s="18" t="s">
        <v>65</v>
      </c>
      <c r="Z21" s="18" t="s">
        <v>65</v>
      </c>
      <c r="AA21" s="18" t="s">
        <v>65</v>
      </c>
      <c r="AB21" s="18" t="s">
        <v>65</v>
      </c>
      <c r="AC21" s="18" t="s">
        <v>65</v>
      </c>
      <c r="AD21" s="19" t="s">
        <v>65</v>
      </c>
      <c r="AE21" s="19" t="s">
        <v>65</v>
      </c>
      <c r="AF21" s="19" t="s">
        <v>65</v>
      </c>
      <c r="AG21" s="19" t="s">
        <v>65</v>
      </c>
      <c r="AH21" s="18" t="s">
        <v>69</v>
      </c>
      <c r="AI21" s="31"/>
    </row>
    <row r="22" spans="2:35" x14ac:dyDescent="0.25">
      <c r="B22" s="21" t="s">
        <v>71</v>
      </c>
      <c r="C22" s="18">
        <v>93.63703811807045</v>
      </c>
      <c r="D22" s="18">
        <v>93.63703811807045</v>
      </c>
      <c r="E22" s="18">
        <v>81.693081629800545</v>
      </c>
      <c r="F22" s="18">
        <v>81.797005387101976</v>
      </c>
      <c r="G22" s="18">
        <v>80.348882995154867</v>
      </c>
      <c r="H22" s="18">
        <v>82.172906197423629</v>
      </c>
      <c r="I22" s="18">
        <v>72.767086506408646</v>
      </c>
      <c r="J22" s="18">
        <v>89.342467188350227</v>
      </c>
      <c r="K22" s="18">
        <v>83.168646341995796</v>
      </c>
      <c r="L22" s="18">
        <v>80.443255226496746</v>
      </c>
      <c r="M22" s="18">
        <v>80.973144163034192</v>
      </c>
      <c r="N22" s="18">
        <v>133.35042157441205</v>
      </c>
      <c r="O22" s="18">
        <v>90.223425108969224</v>
      </c>
      <c r="P22" s="18">
        <v>85.649031704223404</v>
      </c>
      <c r="Q22" s="18">
        <v>86.176084151522915</v>
      </c>
      <c r="R22" s="18">
        <v>94.578795657509374</v>
      </c>
      <c r="S22" s="18">
        <v>145.62639489319477</v>
      </c>
      <c r="T22" s="18">
        <v>105.21972960896865</v>
      </c>
      <c r="U22" s="18">
        <v>119.10723141401598</v>
      </c>
      <c r="V22" s="18">
        <v>101.04480728563857</v>
      </c>
      <c r="W22" s="18">
        <v>99.680549915014041</v>
      </c>
      <c r="X22" s="18">
        <v>87.025094774096374</v>
      </c>
      <c r="Y22" s="18">
        <v>88.562295710552206</v>
      </c>
      <c r="Z22" s="18">
        <v>85.377362253749126</v>
      </c>
      <c r="AA22" s="18">
        <v>88.625438410650261</v>
      </c>
      <c r="AB22" s="18">
        <v>92.056095552456128</v>
      </c>
      <c r="AC22" s="18">
        <v>94.304194563161445</v>
      </c>
      <c r="AD22" s="19">
        <v>95.8028252116397</v>
      </c>
      <c r="AE22" s="19">
        <v>100.30906456818593</v>
      </c>
      <c r="AF22" s="19">
        <v>101.38417644384474</v>
      </c>
      <c r="AG22" s="19">
        <v>101.46339986742251</v>
      </c>
      <c r="AH22" s="18">
        <v>8.3581902061910007</v>
      </c>
      <c r="AI22" s="31"/>
    </row>
    <row r="23" spans="2:35" x14ac:dyDescent="0.25">
      <c r="B23" s="20" t="s">
        <v>72</v>
      </c>
      <c r="C23" s="25" t="s">
        <v>69</v>
      </c>
      <c r="D23" s="25" t="s">
        <v>69</v>
      </c>
      <c r="E23" s="25" t="s">
        <v>69</v>
      </c>
      <c r="F23" s="25" t="s">
        <v>69</v>
      </c>
      <c r="G23" s="25" t="s">
        <v>69</v>
      </c>
      <c r="H23" s="25" t="s">
        <v>69</v>
      </c>
      <c r="I23" s="25" t="s">
        <v>69</v>
      </c>
      <c r="J23" s="25" t="s">
        <v>69</v>
      </c>
      <c r="K23" s="25" t="s">
        <v>69</v>
      </c>
      <c r="L23" s="25" t="s">
        <v>69</v>
      </c>
      <c r="M23" s="25" t="s">
        <v>69</v>
      </c>
      <c r="N23" s="25" t="s">
        <v>69</v>
      </c>
      <c r="O23" s="25" t="s">
        <v>69</v>
      </c>
      <c r="P23" s="25" t="s">
        <v>69</v>
      </c>
      <c r="Q23" s="25" t="s">
        <v>69</v>
      </c>
      <c r="R23" s="25" t="s">
        <v>69</v>
      </c>
      <c r="S23" s="25" t="s">
        <v>69</v>
      </c>
      <c r="T23" s="25" t="s">
        <v>69</v>
      </c>
      <c r="U23" s="25" t="s">
        <v>69</v>
      </c>
      <c r="V23" s="25" t="s">
        <v>69</v>
      </c>
      <c r="W23" s="25" t="s">
        <v>69</v>
      </c>
      <c r="X23" s="25" t="s">
        <v>69</v>
      </c>
      <c r="Y23" s="25" t="s">
        <v>69</v>
      </c>
      <c r="Z23" s="25" t="s">
        <v>69</v>
      </c>
      <c r="AA23" s="25" t="s">
        <v>69</v>
      </c>
      <c r="AB23" s="25" t="s">
        <v>69</v>
      </c>
      <c r="AC23" s="25" t="s">
        <v>69</v>
      </c>
      <c r="AD23" s="25" t="s">
        <v>69</v>
      </c>
      <c r="AE23" s="25" t="s">
        <v>69</v>
      </c>
      <c r="AF23" s="25" t="s">
        <v>69</v>
      </c>
      <c r="AG23" s="25" t="s">
        <v>69</v>
      </c>
      <c r="AH23" s="25" t="s">
        <v>69</v>
      </c>
      <c r="AI23" s="31"/>
    </row>
    <row r="24" spans="2:35" x14ac:dyDescent="0.25">
      <c r="B24" s="21" t="s">
        <v>73</v>
      </c>
      <c r="C24" s="25" t="s">
        <v>69</v>
      </c>
      <c r="D24" s="25" t="s">
        <v>69</v>
      </c>
      <c r="E24" s="25" t="s">
        <v>69</v>
      </c>
      <c r="F24" s="25" t="s">
        <v>69</v>
      </c>
      <c r="G24" s="25" t="s">
        <v>69</v>
      </c>
      <c r="H24" s="25" t="s">
        <v>69</v>
      </c>
      <c r="I24" s="25" t="s">
        <v>69</v>
      </c>
      <c r="J24" s="25" t="s">
        <v>69</v>
      </c>
      <c r="K24" s="25" t="s">
        <v>69</v>
      </c>
      <c r="L24" s="25" t="s">
        <v>69</v>
      </c>
      <c r="M24" s="25" t="s">
        <v>69</v>
      </c>
      <c r="N24" s="25" t="s">
        <v>69</v>
      </c>
      <c r="O24" s="25" t="s">
        <v>69</v>
      </c>
      <c r="P24" s="25" t="s">
        <v>69</v>
      </c>
      <c r="Q24" s="25" t="s">
        <v>69</v>
      </c>
      <c r="R24" s="25" t="s">
        <v>69</v>
      </c>
      <c r="S24" s="25" t="s">
        <v>69</v>
      </c>
      <c r="T24" s="25" t="s">
        <v>69</v>
      </c>
      <c r="U24" s="25" t="s">
        <v>69</v>
      </c>
      <c r="V24" s="25" t="s">
        <v>69</v>
      </c>
      <c r="W24" s="25" t="s">
        <v>69</v>
      </c>
      <c r="X24" s="25" t="s">
        <v>69</v>
      </c>
      <c r="Y24" s="25" t="s">
        <v>69</v>
      </c>
      <c r="Z24" s="25" t="s">
        <v>69</v>
      </c>
      <c r="AA24" s="25" t="s">
        <v>69</v>
      </c>
      <c r="AB24" s="25" t="s">
        <v>69</v>
      </c>
      <c r="AC24" s="25" t="s">
        <v>69</v>
      </c>
      <c r="AD24" s="25" t="s">
        <v>69</v>
      </c>
      <c r="AE24" s="25" t="s">
        <v>69</v>
      </c>
      <c r="AF24" s="25" t="s">
        <v>69</v>
      </c>
      <c r="AG24" s="25" t="s">
        <v>69</v>
      </c>
      <c r="AH24" s="25" t="s">
        <v>69</v>
      </c>
      <c r="AI24" s="31"/>
    </row>
    <row r="25" spans="2:35" x14ac:dyDescent="0.25">
      <c r="B25" s="21" t="s">
        <v>74</v>
      </c>
      <c r="C25" s="18">
        <v>7.4528994680800001E-2</v>
      </c>
      <c r="D25" s="18">
        <v>7.4528994680800001E-2</v>
      </c>
      <c r="E25" s="18">
        <v>8.0373148948400003E-2</v>
      </c>
      <c r="F25" s="18">
        <v>7.6625347898000004E-2</v>
      </c>
      <c r="G25" s="18">
        <v>7.3463614897200005E-2</v>
      </c>
      <c r="H25" s="18">
        <v>7.6006027209199994E-2</v>
      </c>
      <c r="I25" s="18">
        <v>8.1031720294800005E-2</v>
      </c>
      <c r="J25" s="18">
        <v>7.7826668567999996E-2</v>
      </c>
      <c r="K25" s="18">
        <v>7.9567522865599996E-2</v>
      </c>
      <c r="L25" s="18">
        <v>8.1472388839599993E-2</v>
      </c>
      <c r="M25" s="18">
        <v>8.6998081125999993E-2</v>
      </c>
      <c r="N25" s="18">
        <v>8.6691642866400007E-2</v>
      </c>
      <c r="O25" s="18">
        <v>8.6013432348800004E-2</v>
      </c>
      <c r="P25" s="18">
        <v>8.8754307408799998E-2</v>
      </c>
      <c r="Q25" s="18">
        <v>7.8524213191599995E-2</v>
      </c>
      <c r="R25" s="18">
        <v>6.7481188363599995E-2</v>
      </c>
      <c r="S25" s="18">
        <v>6.9507505425599997E-2</v>
      </c>
      <c r="T25" s="18">
        <v>7.0660869100799995E-2</v>
      </c>
      <c r="U25" s="18">
        <v>6.8294305314400006E-2</v>
      </c>
      <c r="V25" s="18">
        <v>6.2614659452399996E-2</v>
      </c>
      <c r="W25" s="18">
        <v>5.9948669753279997E-2</v>
      </c>
      <c r="X25" s="18">
        <v>5.3644595782800002E-2</v>
      </c>
      <c r="Y25" s="18">
        <v>5.4166356301200001E-2</v>
      </c>
      <c r="Z25" s="18">
        <v>4.9692430223920003E-2</v>
      </c>
      <c r="AA25" s="18">
        <v>4.3307029810879999E-2</v>
      </c>
      <c r="AB25" s="18">
        <v>4.1192897095679998E-2</v>
      </c>
      <c r="AC25" s="18">
        <v>4.4441491156480002E-2</v>
      </c>
      <c r="AD25" s="19">
        <v>3.7466551126400002E-2</v>
      </c>
      <c r="AE25" s="19">
        <v>4.8403646030080003E-2</v>
      </c>
      <c r="AF25" s="19">
        <v>2.4545042128640001E-2</v>
      </c>
      <c r="AG25" s="19">
        <v>3.7935392682000003E-2</v>
      </c>
      <c r="AH25" s="18">
        <v>-49.099819681623998</v>
      </c>
      <c r="AI25" s="31"/>
    </row>
    <row r="26" spans="2:35" x14ac:dyDescent="0.25">
      <c r="B26" s="20" t="s">
        <v>75</v>
      </c>
      <c r="C26" s="18">
        <v>21.15786479151668</v>
      </c>
      <c r="D26" s="18">
        <v>21.15786479151668</v>
      </c>
      <c r="E26" s="18">
        <v>21.47615304634186</v>
      </c>
      <c r="F26" s="18">
        <v>21.79524462028472</v>
      </c>
      <c r="G26" s="18">
        <v>22.090169926290539</v>
      </c>
      <c r="H26" s="18">
        <v>22.39653328343989</v>
      </c>
      <c r="I26" s="18">
        <v>22.626925698001759</v>
      </c>
      <c r="J26" s="18">
        <v>21.901766276698929</v>
      </c>
      <c r="K26" s="18">
        <v>20.664147136632121</v>
      </c>
      <c r="L26" s="18">
        <v>22.558423734190711</v>
      </c>
      <c r="M26" s="18">
        <v>23.48286545269098</v>
      </c>
      <c r="N26" s="18">
        <v>21.451189601658179</v>
      </c>
      <c r="O26" s="18">
        <v>20.850451683472421</v>
      </c>
      <c r="P26" s="18">
        <v>27.86955346102155</v>
      </c>
      <c r="Q26" s="18">
        <v>32.413940603335782</v>
      </c>
      <c r="R26" s="18">
        <v>30.553610625585989</v>
      </c>
      <c r="S26" s="18">
        <v>30.10848578046669</v>
      </c>
      <c r="T26" s="18">
        <v>30.079270387375821</v>
      </c>
      <c r="U26" s="18">
        <v>29.802417884455888</v>
      </c>
      <c r="V26" s="18">
        <v>31.524097992883259</v>
      </c>
      <c r="W26" s="18">
        <v>34.420621089259669</v>
      </c>
      <c r="X26" s="18">
        <v>40.036368192526737</v>
      </c>
      <c r="Y26" s="18">
        <v>40.218552425035121</v>
      </c>
      <c r="Z26" s="18">
        <v>45.733940816878153</v>
      </c>
      <c r="AA26" s="18">
        <v>49.405969813419993</v>
      </c>
      <c r="AB26" s="18">
        <v>42.093353089919987</v>
      </c>
      <c r="AC26" s="18">
        <v>44.752037292217182</v>
      </c>
      <c r="AD26" s="19">
        <v>47.329767757459059</v>
      </c>
      <c r="AE26" s="19">
        <v>59.039366514862067</v>
      </c>
      <c r="AF26" s="19">
        <v>59.436888953600842</v>
      </c>
      <c r="AG26" s="19">
        <v>64.392130559347422</v>
      </c>
      <c r="AH26" s="18">
        <v>204.34134632132501</v>
      </c>
      <c r="AI26" s="31"/>
    </row>
    <row r="27" spans="2:35" x14ac:dyDescent="0.25">
      <c r="B27" s="22" t="s">
        <v>76</v>
      </c>
      <c r="C27" s="14">
        <v>451.71302318840577</v>
      </c>
      <c r="D27" s="14">
        <v>451.71302318840577</v>
      </c>
      <c r="E27" s="14">
        <v>414.77354282194688</v>
      </c>
      <c r="F27" s="14">
        <v>373.68663710144926</v>
      </c>
      <c r="G27" s="14">
        <v>457.17501739130438</v>
      </c>
      <c r="H27" s="14">
        <v>368.3606602898551</v>
      </c>
      <c r="I27" s="14">
        <v>580.86230144927538</v>
      </c>
      <c r="J27" s="14">
        <v>571.22039652173908</v>
      </c>
      <c r="K27" s="14">
        <v>506.1207130434783</v>
      </c>
      <c r="L27" s="14">
        <v>400.95203420289857</v>
      </c>
      <c r="M27" s="14">
        <v>486.76115304347826</v>
      </c>
      <c r="N27" s="14">
        <v>458.22678318840576</v>
      </c>
      <c r="O27" s="14">
        <v>468.91914666666662</v>
      </c>
      <c r="P27" s="14">
        <v>354.7049223188406</v>
      </c>
      <c r="Q27" s="14">
        <v>465.24260869565217</v>
      </c>
      <c r="R27" s="14">
        <v>307.65340115942024</v>
      </c>
      <c r="S27" s="14">
        <v>327.54831999999993</v>
      </c>
      <c r="T27" s="14">
        <v>319.61189333333334</v>
      </c>
      <c r="U27" s="14">
        <v>427.66665333333327</v>
      </c>
      <c r="V27" s="14">
        <v>329.18057333333337</v>
      </c>
      <c r="W27" s="14">
        <v>396.34319999999997</v>
      </c>
      <c r="X27" s="14">
        <v>526.17707999999993</v>
      </c>
      <c r="Y27" s="14">
        <v>430.94436000000002</v>
      </c>
      <c r="Z27" s="14">
        <v>275.74726666666669</v>
      </c>
      <c r="AA27" s="14">
        <v>562.78302666666661</v>
      </c>
      <c r="AB27" s="14">
        <v>445.62469013333339</v>
      </c>
      <c r="AC27" s="14">
        <v>465.41234666666668</v>
      </c>
      <c r="AD27" s="14">
        <v>512.70428000000004</v>
      </c>
      <c r="AE27" s="14">
        <v>416.73514666666665</v>
      </c>
      <c r="AF27" s="14">
        <v>549.81974666666667</v>
      </c>
      <c r="AG27" s="14">
        <v>435.88301093333325</v>
      </c>
      <c r="AH27" s="14">
        <v>-3.5044400852859998</v>
      </c>
      <c r="AI27" s="31"/>
    </row>
    <row r="28" spans="2:35" x14ac:dyDescent="0.25">
      <c r="B28" s="16" t="s">
        <v>77</v>
      </c>
      <c r="C28" s="25" t="s">
        <v>69</v>
      </c>
      <c r="D28" s="25" t="s">
        <v>69</v>
      </c>
      <c r="E28" s="25" t="s">
        <v>69</v>
      </c>
      <c r="F28" s="25" t="s">
        <v>69</v>
      </c>
      <c r="G28" s="25" t="s">
        <v>69</v>
      </c>
      <c r="H28" s="25" t="s">
        <v>69</v>
      </c>
      <c r="I28" s="25" t="s">
        <v>69</v>
      </c>
      <c r="J28" s="25" t="s">
        <v>69</v>
      </c>
      <c r="K28" s="25" t="s">
        <v>69</v>
      </c>
      <c r="L28" s="25" t="s">
        <v>69</v>
      </c>
      <c r="M28" s="25" t="s">
        <v>69</v>
      </c>
      <c r="N28" s="25" t="s">
        <v>69</v>
      </c>
      <c r="O28" s="25" t="s">
        <v>69</v>
      </c>
      <c r="P28" s="25" t="s">
        <v>69</v>
      </c>
      <c r="Q28" s="25" t="s">
        <v>69</v>
      </c>
      <c r="R28" s="25" t="s">
        <v>69</v>
      </c>
      <c r="S28" s="25" t="s">
        <v>69</v>
      </c>
      <c r="T28" s="25" t="s">
        <v>69</v>
      </c>
      <c r="U28" s="25" t="s">
        <v>69</v>
      </c>
      <c r="V28" s="25" t="s">
        <v>69</v>
      </c>
      <c r="W28" s="25" t="s">
        <v>69</v>
      </c>
      <c r="X28" s="25" t="s">
        <v>69</v>
      </c>
      <c r="Y28" s="25" t="s">
        <v>69</v>
      </c>
      <c r="Z28" s="25" t="s">
        <v>69</v>
      </c>
      <c r="AA28" s="25" t="s">
        <v>69</v>
      </c>
      <c r="AB28" s="25" t="s">
        <v>69</v>
      </c>
      <c r="AC28" s="25" t="s">
        <v>69</v>
      </c>
      <c r="AD28" s="25" t="s">
        <v>69</v>
      </c>
      <c r="AE28" s="25" t="s">
        <v>69</v>
      </c>
      <c r="AF28" s="25" t="s">
        <v>69</v>
      </c>
      <c r="AG28" s="25" t="s">
        <v>69</v>
      </c>
      <c r="AH28" s="25" t="s">
        <v>69</v>
      </c>
      <c r="AI28" s="31"/>
    </row>
    <row r="29" spans="2:35" x14ac:dyDescent="0.25">
      <c r="B29" s="16" t="s">
        <v>78</v>
      </c>
      <c r="C29" s="25" t="s">
        <v>69</v>
      </c>
      <c r="D29" s="25" t="s">
        <v>69</v>
      </c>
      <c r="E29" s="25" t="s">
        <v>69</v>
      </c>
      <c r="F29" s="25" t="s">
        <v>69</v>
      </c>
      <c r="G29" s="25" t="s">
        <v>69</v>
      </c>
      <c r="H29" s="25" t="s">
        <v>69</v>
      </c>
      <c r="I29" s="25" t="s">
        <v>69</v>
      </c>
      <c r="J29" s="25" t="s">
        <v>69</v>
      </c>
      <c r="K29" s="25" t="s">
        <v>69</v>
      </c>
      <c r="L29" s="25" t="s">
        <v>69</v>
      </c>
      <c r="M29" s="25" t="s">
        <v>69</v>
      </c>
      <c r="N29" s="25" t="s">
        <v>69</v>
      </c>
      <c r="O29" s="25" t="s">
        <v>69</v>
      </c>
      <c r="P29" s="25" t="s">
        <v>69</v>
      </c>
      <c r="Q29" s="25" t="s">
        <v>69</v>
      </c>
      <c r="R29" s="25" t="s">
        <v>69</v>
      </c>
      <c r="S29" s="25" t="s">
        <v>69</v>
      </c>
      <c r="T29" s="25" t="s">
        <v>69</v>
      </c>
      <c r="U29" s="25" t="s">
        <v>69</v>
      </c>
      <c r="V29" s="25" t="s">
        <v>69</v>
      </c>
      <c r="W29" s="25" t="s">
        <v>69</v>
      </c>
      <c r="X29" s="25" t="s">
        <v>69</v>
      </c>
      <c r="Y29" s="25" t="s">
        <v>69</v>
      </c>
      <c r="Z29" s="25" t="s">
        <v>69</v>
      </c>
      <c r="AA29" s="25" t="s">
        <v>69</v>
      </c>
      <c r="AB29" s="25" t="s">
        <v>69</v>
      </c>
      <c r="AC29" s="25" t="s">
        <v>69</v>
      </c>
      <c r="AD29" s="25" t="s">
        <v>69</v>
      </c>
      <c r="AE29" s="25" t="s">
        <v>69</v>
      </c>
      <c r="AF29" s="25" t="s">
        <v>69</v>
      </c>
      <c r="AG29" s="25" t="s">
        <v>69</v>
      </c>
      <c r="AH29" s="25" t="s">
        <v>69</v>
      </c>
      <c r="AI29" s="31"/>
    </row>
    <row r="30" spans="2:35" x14ac:dyDescent="0.25">
      <c r="B30" s="16" t="s">
        <v>79</v>
      </c>
      <c r="C30" s="25" t="s">
        <v>69</v>
      </c>
      <c r="D30" s="25" t="s">
        <v>69</v>
      </c>
      <c r="E30" s="25" t="s">
        <v>69</v>
      </c>
      <c r="F30" s="25" t="s">
        <v>69</v>
      </c>
      <c r="G30" s="25" t="s">
        <v>69</v>
      </c>
      <c r="H30" s="25" t="s">
        <v>69</v>
      </c>
      <c r="I30" s="25" t="s">
        <v>69</v>
      </c>
      <c r="J30" s="25" t="s">
        <v>69</v>
      </c>
      <c r="K30" s="25" t="s">
        <v>69</v>
      </c>
      <c r="L30" s="25" t="s">
        <v>69</v>
      </c>
      <c r="M30" s="25" t="s">
        <v>69</v>
      </c>
      <c r="N30" s="25" t="s">
        <v>69</v>
      </c>
      <c r="O30" s="25" t="s">
        <v>69</v>
      </c>
      <c r="P30" s="25" t="s">
        <v>69</v>
      </c>
      <c r="Q30" s="25" t="s">
        <v>69</v>
      </c>
      <c r="R30" s="25" t="s">
        <v>69</v>
      </c>
      <c r="S30" s="25" t="s">
        <v>69</v>
      </c>
      <c r="T30" s="25" t="s">
        <v>69</v>
      </c>
      <c r="U30" s="25" t="s">
        <v>69</v>
      </c>
      <c r="V30" s="25" t="s">
        <v>69</v>
      </c>
      <c r="W30" s="25" t="s">
        <v>69</v>
      </c>
      <c r="X30" s="25" t="s">
        <v>69</v>
      </c>
      <c r="Y30" s="25" t="s">
        <v>69</v>
      </c>
      <c r="Z30" s="25" t="s">
        <v>69</v>
      </c>
      <c r="AA30" s="25" t="s">
        <v>69</v>
      </c>
      <c r="AB30" s="25" t="s">
        <v>69</v>
      </c>
      <c r="AC30" s="25" t="s">
        <v>69</v>
      </c>
      <c r="AD30" s="25" t="s">
        <v>69</v>
      </c>
      <c r="AE30" s="25" t="s">
        <v>69</v>
      </c>
      <c r="AF30" s="25" t="s">
        <v>69</v>
      </c>
      <c r="AG30" s="25" t="s">
        <v>69</v>
      </c>
      <c r="AH30" s="25" t="s">
        <v>69</v>
      </c>
      <c r="AI30" s="31"/>
    </row>
    <row r="31" spans="2:35" x14ac:dyDescent="0.25">
      <c r="B31" s="16" t="s">
        <v>80</v>
      </c>
      <c r="C31" s="25" t="s">
        <v>69</v>
      </c>
      <c r="D31" s="25" t="s">
        <v>69</v>
      </c>
      <c r="E31" s="25" t="s">
        <v>69</v>
      </c>
      <c r="F31" s="25" t="s">
        <v>69</v>
      </c>
      <c r="G31" s="25" t="s">
        <v>69</v>
      </c>
      <c r="H31" s="25" t="s">
        <v>69</v>
      </c>
      <c r="I31" s="25" t="s">
        <v>69</v>
      </c>
      <c r="J31" s="25" t="s">
        <v>69</v>
      </c>
      <c r="K31" s="25" t="s">
        <v>69</v>
      </c>
      <c r="L31" s="25" t="s">
        <v>69</v>
      </c>
      <c r="M31" s="25" t="s">
        <v>69</v>
      </c>
      <c r="N31" s="25" t="s">
        <v>69</v>
      </c>
      <c r="O31" s="25" t="s">
        <v>69</v>
      </c>
      <c r="P31" s="25" t="s">
        <v>69</v>
      </c>
      <c r="Q31" s="25" t="s">
        <v>69</v>
      </c>
      <c r="R31" s="25" t="s">
        <v>69</v>
      </c>
      <c r="S31" s="25" t="s">
        <v>69</v>
      </c>
      <c r="T31" s="25" t="s">
        <v>69</v>
      </c>
      <c r="U31" s="25" t="s">
        <v>69</v>
      </c>
      <c r="V31" s="25" t="s">
        <v>69</v>
      </c>
      <c r="W31" s="25" t="s">
        <v>69</v>
      </c>
      <c r="X31" s="25" t="s">
        <v>69</v>
      </c>
      <c r="Y31" s="25" t="s">
        <v>69</v>
      </c>
      <c r="Z31" s="25" t="s">
        <v>69</v>
      </c>
      <c r="AA31" s="25" t="s">
        <v>69</v>
      </c>
      <c r="AB31" s="25" t="s">
        <v>69</v>
      </c>
      <c r="AC31" s="25" t="s">
        <v>69</v>
      </c>
      <c r="AD31" s="25" t="s">
        <v>69</v>
      </c>
      <c r="AE31" s="25" t="s">
        <v>69</v>
      </c>
      <c r="AF31" s="25" t="s">
        <v>69</v>
      </c>
      <c r="AG31" s="25" t="s">
        <v>69</v>
      </c>
      <c r="AH31" s="25" t="s">
        <v>69</v>
      </c>
      <c r="AI31" s="31"/>
    </row>
    <row r="32" spans="2:35" x14ac:dyDescent="0.25">
      <c r="B32" s="16" t="s">
        <v>81</v>
      </c>
      <c r="C32" s="25" t="s">
        <v>69</v>
      </c>
      <c r="D32" s="25" t="s">
        <v>69</v>
      </c>
      <c r="E32" s="25" t="s">
        <v>69</v>
      </c>
      <c r="F32" s="25" t="s">
        <v>69</v>
      </c>
      <c r="G32" s="25" t="s">
        <v>69</v>
      </c>
      <c r="H32" s="25" t="s">
        <v>69</v>
      </c>
      <c r="I32" s="25" t="s">
        <v>69</v>
      </c>
      <c r="J32" s="25" t="s">
        <v>69</v>
      </c>
      <c r="K32" s="25" t="s">
        <v>69</v>
      </c>
      <c r="L32" s="25" t="s">
        <v>69</v>
      </c>
      <c r="M32" s="25" t="s">
        <v>69</v>
      </c>
      <c r="N32" s="25" t="s">
        <v>69</v>
      </c>
      <c r="O32" s="25" t="s">
        <v>69</v>
      </c>
      <c r="P32" s="25" t="s">
        <v>69</v>
      </c>
      <c r="Q32" s="25" t="s">
        <v>69</v>
      </c>
      <c r="R32" s="25" t="s">
        <v>69</v>
      </c>
      <c r="S32" s="25" t="s">
        <v>69</v>
      </c>
      <c r="T32" s="25" t="s">
        <v>69</v>
      </c>
      <c r="U32" s="25" t="s">
        <v>69</v>
      </c>
      <c r="V32" s="25" t="s">
        <v>69</v>
      </c>
      <c r="W32" s="25" t="s">
        <v>69</v>
      </c>
      <c r="X32" s="25" t="s">
        <v>69</v>
      </c>
      <c r="Y32" s="25" t="s">
        <v>69</v>
      </c>
      <c r="Z32" s="25" t="s">
        <v>69</v>
      </c>
      <c r="AA32" s="25" t="s">
        <v>69</v>
      </c>
      <c r="AB32" s="25" t="s">
        <v>69</v>
      </c>
      <c r="AC32" s="25" t="s">
        <v>69</v>
      </c>
      <c r="AD32" s="25" t="s">
        <v>69</v>
      </c>
      <c r="AE32" s="25" t="s">
        <v>69</v>
      </c>
      <c r="AF32" s="25" t="s">
        <v>69</v>
      </c>
      <c r="AG32" s="25" t="s">
        <v>69</v>
      </c>
      <c r="AH32" s="25" t="s">
        <v>69</v>
      </c>
      <c r="AI32" s="31"/>
    </row>
    <row r="33" spans="2:35" x14ac:dyDescent="0.25">
      <c r="B33" s="16" t="s">
        <v>82</v>
      </c>
      <c r="C33" s="25" t="s">
        <v>69</v>
      </c>
      <c r="D33" s="25" t="s">
        <v>69</v>
      </c>
      <c r="E33" s="25" t="s">
        <v>69</v>
      </c>
      <c r="F33" s="25" t="s">
        <v>69</v>
      </c>
      <c r="G33" s="25" t="s">
        <v>69</v>
      </c>
      <c r="H33" s="25" t="s">
        <v>69</v>
      </c>
      <c r="I33" s="25" t="s">
        <v>69</v>
      </c>
      <c r="J33" s="25" t="s">
        <v>69</v>
      </c>
      <c r="K33" s="25" t="s">
        <v>69</v>
      </c>
      <c r="L33" s="25" t="s">
        <v>69</v>
      </c>
      <c r="M33" s="25" t="s">
        <v>69</v>
      </c>
      <c r="N33" s="25" t="s">
        <v>69</v>
      </c>
      <c r="O33" s="25" t="s">
        <v>69</v>
      </c>
      <c r="P33" s="25" t="s">
        <v>69</v>
      </c>
      <c r="Q33" s="25" t="s">
        <v>69</v>
      </c>
      <c r="R33" s="25" t="s">
        <v>69</v>
      </c>
      <c r="S33" s="25" t="s">
        <v>69</v>
      </c>
      <c r="T33" s="25" t="s">
        <v>69</v>
      </c>
      <c r="U33" s="25" t="s">
        <v>69</v>
      </c>
      <c r="V33" s="25" t="s">
        <v>69</v>
      </c>
      <c r="W33" s="25" t="s">
        <v>69</v>
      </c>
      <c r="X33" s="25" t="s">
        <v>69</v>
      </c>
      <c r="Y33" s="25" t="s">
        <v>69</v>
      </c>
      <c r="Z33" s="25" t="s">
        <v>69</v>
      </c>
      <c r="AA33" s="25" t="s">
        <v>69</v>
      </c>
      <c r="AB33" s="25" t="s">
        <v>69</v>
      </c>
      <c r="AC33" s="25" t="s">
        <v>69</v>
      </c>
      <c r="AD33" s="25" t="s">
        <v>69</v>
      </c>
      <c r="AE33" s="25" t="s">
        <v>69</v>
      </c>
      <c r="AF33" s="25" t="s">
        <v>69</v>
      </c>
      <c r="AG33" s="25" t="s">
        <v>69</v>
      </c>
      <c r="AH33" s="25" t="s">
        <v>69</v>
      </c>
      <c r="AI33" s="31"/>
    </row>
    <row r="34" spans="2:35" x14ac:dyDescent="0.25">
      <c r="B34" s="16" t="s">
        <v>128</v>
      </c>
      <c r="C34" s="18">
        <v>355.036</v>
      </c>
      <c r="D34" s="18">
        <v>355.036</v>
      </c>
      <c r="E34" s="18">
        <v>315.14515999999998</v>
      </c>
      <c r="F34" s="18">
        <v>255.60083999999998</v>
      </c>
      <c r="G34" s="18">
        <v>357.2998</v>
      </c>
      <c r="H34" s="18">
        <v>269.64124000000004</v>
      </c>
      <c r="I34" s="18">
        <v>494.59520000000003</v>
      </c>
      <c r="J34" s="18">
        <v>484.03343999999993</v>
      </c>
      <c r="K34" s="18">
        <v>423.48680000000002</v>
      </c>
      <c r="L34" s="18">
        <v>305.58044000000001</v>
      </c>
      <c r="M34" s="18">
        <v>383.22723999999999</v>
      </c>
      <c r="N34" s="18">
        <v>366.38315999999998</v>
      </c>
      <c r="O34" s="18">
        <v>385.28247999999996</v>
      </c>
      <c r="P34" s="18">
        <v>273.89956000000001</v>
      </c>
      <c r="Q34" s="18">
        <v>386.76</v>
      </c>
      <c r="R34" s="18">
        <v>240.79571999999996</v>
      </c>
      <c r="S34" s="18">
        <v>266.73371999999995</v>
      </c>
      <c r="T34" s="18">
        <v>254.85636</v>
      </c>
      <c r="U34" s="18">
        <v>376.76671999999996</v>
      </c>
      <c r="V34" s="18">
        <v>262.20744000000002</v>
      </c>
      <c r="W34" s="18">
        <v>307.32239999999996</v>
      </c>
      <c r="X34" s="18">
        <v>427.93387999999993</v>
      </c>
      <c r="Y34" s="18">
        <v>360.67856</v>
      </c>
      <c r="Z34" s="18">
        <v>229.39619999999999</v>
      </c>
      <c r="AA34" s="18">
        <v>515.69275999999991</v>
      </c>
      <c r="AB34" s="18">
        <v>391.07495680000005</v>
      </c>
      <c r="AC34" s="18">
        <v>401.14668</v>
      </c>
      <c r="AD34" s="19">
        <v>433.59667999999999</v>
      </c>
      <c r="AE34" s="19">
        <v>332.74647999999996</v>
      </c>
      <c r="AF34" s="19">
        <v>461.05708000000004</v>
      </c>
      <c r="AG34" s="19">
        <v>343.90247759999994</v>
      </c>
      <c r="AH34" s="18">
        <v>-3.1358854876689999</v>
      </c>
      <c r="AI34" s="31"/>
    </row>
    <row r="35" spans="2:35" x14ac:dyDescent="0.25">
      <c r="B35" s="16" t="s">
        <v>129</v>
      </c>
      <c r="C35" s="18">
        <v>96.677023188405784</v>
      </c>
      <c r="D35" s="18">
        <v>96.677023188405784</v>
      </c>
      <c r="E35" s="18">
        <v>99.628382821946872</v>
      </c>
      <c r="F35" s="18">
        <v>118.08579710144927</v>
      </c>
      <c r="G35" s="18">
        <v>99.875217391304361</v>
      </c>
      <c r="H35" s="18">
        <v>98.719420289855051</v>
      </c>
      <c r="I35" s="18">
        <v>86.267101449275344</v>
      </c>
      <c r="J35" s="18">
        <v>87.18695652173912</v>
      </c>
      <c r="K35" s="18">
        <v>82.633913043478259</v>
      </c>
      <c r="L35" s="18">
        <v>95.371594202898564</v>
      </c>
      <c r="M35" s="18">
        <v>103.53391304347825</v>
      </c>
      <c r="N35" s="18">
        <v>91.8436231884058</v>
      </c>
      <c r="O35" s="18">
        <v>83.63666666666667</v>
      </c>
      <c r="P35" s="18">
        <v>80.805362318840594</v>
      </c>
      <c r="Q35" s="18">
        <v>78.482608695652175</v>
      </c>
      <c r="R35" s="18">
        <v>66.857681159420295</v>
      </c>
      <c r="S35" s="18">
        <v>60.814599999999999</v>
      </c>
      <c r="T35" s="18">
        <v>64.755533333333346</v>
      </c>
      <c r="U35" s="18">
        <v>50.899933333333337</v>
      </c>
      <c r="V35" s="18">
        <v>66.973133333333351</v>
      </c>
      <c r="W35" s="18">
        <v>89.020800000000008</v>
      </c>
      <c r="X35" s="18">
        <v>98.243200000000016</v>
      </c>
      <c r="Y35" s="18">
        <v>70.265799999999999</v>
      </c>
      <c r="Z35" s="18">
        <v>46.351066666666682</v>
      </c>
      <c r="AA35" s="18">
        <v>47.090266666666672</v>
      </c>
      <c r="AB35" s="18">
        <v>54.549733333333343</v>
      </c>
      <c r="AC35" s="18">
        <v>64.265666666666661</v>
      </c>
      <c r="AD35" s="19">
        <v>79.107600000000019</v>
      </c>
      <c r="AE35" s="19">
        <v>83.988666666666674</v>
      </c>
      <c r="AF35" s="19">
        <v>88.762666666666675</v>
      </c>
      <c r="AG35" s="19">
        <v>91.980533333333341</v>
      </c>
      <c r="AH35" s="18">
        <v>-4.8579173211819997</v>
      </c>
      <c r="AI35" s="31"/>
    </row>
    <row r="36" spans="2:35" x14ac:dyDescent="0.25">
      <c r="B36" s="16" t="s">
        <v>85</v>
      </c>
      <c r="C36" s="18" t="s">
        <v>65</v>
      </c>
      <c r="D36" s="18" t="s">
        <v>65</v>
      </c>
      <c r="E36" s="18" t="s">
        <v>65</v>
      </c>
      <c r="F36" s="18" t="s">
        <v>65</v>
      </c>
      <c r="G36" s="18" t="s">
        <v>65</v>
      </c>
      <c r="H36" s="18" t="s">
        <v>65</v>
      </c>
      <c r="I36" s="18" t="s">
        <v>65</v>
      </c>
      <c r="J36" s="18" t="s">
        <v>65</v>
      </c>
      <c r="K36" s="18" t="s">
        <v>65</v>
      </c>
      <c r="L36" s="18" t="s">
        <v>65</v>
      </c>
      <c r="M36" s="18" t="s">
        <v>65</v>
      </c>
      <c r="N36" s="18" t="s">
        <v>65</v>
      </c>
      <c r="O36" s="18" t="s">
        <v>65</v>
      </c>
      <c r="P36" s="18" t="s">
        <v>65</v>
      </c>
      <c r="Q36" s="18" t="s">
        <v>65</v>
      </c>
      <c r="R36" s="18" t="s">
        <v>65</v>
      </c>
      <c r="S36" s="18" t="s">
        <v>65</v>
      </c>
      <c r="T36" s="18" t="s">
        <v>65</v>
      </c>
      <c r="U36" s="18" t="s">
        <v>65</v>
      </c>
      <c r="V36" s="18" t="s">
        <v>65</v>
      </c>
      <c r="W36" s="18" t="s">
        <v>65</v>
      </c>
      <c r="X36" s="18" t="s">
        <v>65</v>
      </c>
      <c r="Y36" s="18" t="s">
        <v>65</v>
      </c>
      <c r="Z36" s="18" t="s">
        <v>65</v>
      </c>
      <c r="AA36" s="18" t="s">
        <v>65</v>
      </c>
      <c r="AB36" s="18" t="s">
        <v>65</v>
      </c>
      <c r="AC36" s="18" t="s">
        <v>65</v>
      </c>
      <c r="AD36" s="19" t="s">
        <v>65</v>
      </c>
      <c r="AE36" s="19" t="s">
        <v>65</v>
      </c>
      <c r="AF36" s="19" t="s">
        <v>65</v>
      </c>
      <c r="AG36" s="19" t="s">
        <v>65</v>
      </c>
      <c r="AH36" s="18">
        <v>0</v>
      </c>
      <c r="AI36" s="31"/>
    </row>
    <row r="37" spans="2:35" x14ac:dyDescent="0.25">
      <c r="B37" s="16" t="s">
        <v>86</v>
      </c>
      <c r="C37" s="18" t="s">
        <v>65</v>
      </c>
      <c r="D37" s="18" t="s">
        <v>65</v>
      </c>
      <c r="E37" s="18" t="s">
        <v>65</v>
      </c>
      <c r="F37" s="18" t="s">
        <v>65</v>
      </c>
      <c r="G37" s="18" t="s">
        <v>65</v>
      </c>
      <c r="H37" s="18" t="s">
        <v>65</v>
      </c>
      <c r="I37" s="18" t="s">
        <v>65</v>
      </c>
      <c r="J37" s="18" t="s">
        <v>65</v>
      </c>
      <c r="K37" s="18" t="s">
        <v>65</v>
      </c>
      <c r="L37" s="18" t="s">
        <v>65</v>
      </c>
      <c r="M37" s="18" t="s">
        <v>65</v>
      </c>
      <c r="N37" s="18" t="s">
        <v>65</v>
      </c>
      <c r="O37" s="18" t="s">
        <v>65</v>
      </c>
      <c r="P37" s="18" t="s">
        <v>65</v>
      </c>
      <c r="Q37" s="18" t="s">
        <v>65</v>
      </c>
      <c r="R37" s="18" t="s">
        <v>65</v>
      </c>
      <c r="S37" s="18" t="s">
        <v>65</v>
      </c>
      <c r="T37" s="18" t="s">
        <v>65</v>
      </c>
      <c r="U37" s="18" t="s">
        <v>65</v>
      </c>
      <c r="V37" s="18" t="s">
        <v>65</v>
      </c>
      <c r="W37" s="18" t="s">
        <v>65</v>
      </c>
      <c r="X37" s="18" t="s">
        <v>65</v>
      </c>
      <c r="Y37" s="18" t="s">
        <v>65</v>
      </c>
      <c r="Z37" s="18" t="s">
        <v>65</v>
      </c>
      <c r="AA37" s="18" t="s">
        <v>65</v>
      </c>
      <c r="AB37" s="18" t="s">
        <v>65</v>
      </c>
      <c r="AC37" s="18" t="s">
        <v>65</v>
      </c>
      <c r="AD37" s="19" t="s">
        <v>65</v>
      </c>
      <c r="AE37" s="19" t="s">
        <v>65</v>
      </c>
      <c r="AF37" s="19" t="s">
        <v>65</v>
      </c>
      <c r="AG37" s="19" t="s">
        <v>65</v>
      </c>
      <c r="AH37" s="18">
        <v>0</v>
      </c>
      <c r="AI37" s="31"/>
    </row>
    <row r="38" spans="2:35" ht="14" x14ac:dyDescent="0.25">
      <c r="B38" s="22" t="s">
        <v>130</v>
      </c>
      <c r="C38" s="14">
        <v>4525.7071673797345</v>
      </c>
      <c r="D38" s="14">
        <v>4525.7071673797345</v>
      </c>
      <c r="E38" s="14">
        <v>4376.0172999455808</v>
      </c>
      <c r="F38" s="14">
        <v>4157.2753093721285</v>
      </c>
      <c r="G38" s="14">
        <v>3991.8974844459458</v>
      </c>
      <c r="H38" s="14">
        <v>4110.2562683789574</v>
      </c>
      <c r="I38" s="14">
        <v>5039.228225624488</v>
      </c>
      <c r="J38" s="14">
        <v>4607.1410389484417</v>
      </c>
      <c r="K38" s="14">
        <v>3981.1221552806642</v>
      </c>
      <c r="L38" s="14">
        <v>3788.5384197658213</v>
      </c>
      <c r="M38" s="14">
        <v>3935.2347823534133</v>
      </c>
      <c r="N38" s="14">
        <v>5247.2797683076651</v>
      </c>
      <c r="O38" s="14">
        <v>6276.5659474150598</v>
      </c>
      <c r="P38" s="14">
        <v>6198.7648582692964</v>
      </c>
      <c r="Q38" s="14">
        <v>6242.9262920352094</v>
      </c>
      <c r="R38" s="14">
        <v>4733.3300920597148</v>
      </c>
      <c r="S38" s="14">
        <v>5242.7518156737606</v>
      </c>
      <c r="T38" s="14">
        <v>5678.3920572176357</v>
      </c>
      <c r="U38" s="14">
        <v>4907.3699798874422</v>
      </c>
      <c r="V38" s="14">
        <v>4127.7178071970566</v>
      </c>
      <c r="W38" s="14">
        <v>3831.7335484667497</v>
      </c>
      <c r="X38" s="14">
        <v>5082.8096792223578</v>
      </c>
      <c r="Y38" s="14">
        <v>4583.2753960455821</v>
      </c>
      <c r="Z38" s="14">
        <v>3682.0579309004665</v>
      </c>
      <c r="AA38" s="14">
        <v>3692.1717923801834</v>
      </c>
      <c r="AB38" s="14">
        <v>4861.1144226110418</v>
      </c>
      <c r="AC38" s="14">
        <v>4713.2876821278196</v>
      </c>
      <c r="AD38" s="14">
        <v>4177.0370226818904</v>
      </c>
      <c r="AE38" s="14">
        <v>5348.363734177532</v>
      </c>
      <c r="AF38" s="14">
        <v>3920.3557882251012</v>
      </c>
      <c r="AG38" s="14">
        <v>3619.7231938846949</v>
      </c>
      <c r="AH38" s="14">
        <v>-20.018616759501001</v>
      </c>
      <c r="AI38" s="31"/>
    </row>
    <row r="39" spans="2:35" x14ac:dyDescent="0.25">
      <c r="B39" s="16" t="s">
        <v>88</v>
      </c>
      <c r="C39" s="18">
        <v>-3862.4212894830753</v>
      </c>
      <c r="D39" s="18">
        <v>-3862.4212894830753</v>
      </c>
      <c r="E39" s="18">
        <v>-4001.744454154451</v>
      </c>
      <c r="F39" s="18">
        <v>-3417.535618680321</v>
      </c>
      <c r="G39" s="18">
        <v>-3655.6759371518756</v>
      </c>
      <c r="H39" s="18">
        <v>-3259.9843938837193</v>
      </c>
      <c r="I39" s="18">
        <v>-2933.2453329902355</v>
      </c>
      <c r="J39" s="18">
        <v>-2756.9729853346789</v>
      </c>
      <c r="K39" s="18">
        <v>-3642.7546692740111</v>
      </c>
      <c r="L39" s="18">
        <v>-3191.7127859126222</v>
      </c>
      <c r="M39" s="18">
        <v>-3118.3675836874545</v>
      </c>
      <c r="N39" s="18">
        <v>-2174.7005942600408</v>
      </c>
      <c r="O39" s="18">
        <v>-2439.9618498368782</v>
      </c>
      <c r="P39" s="18">
        <v>-2407.6716084022719</v>
      </c>
      <c r="Q39" s="18">
        <v>-2599.2614728741432</v>
      </c>
      <c r="R39" s="18">
        <v>-3437.9659448316011</v>
      </c>
      <c r="S39" s="18">
        <v>-3205.7843297052859</v>
      </c>
      <c r="T39" s="18">
        <v>-3479.9187550748834</v>
      </c>
      <c r="U39" s="18">
        <v>-3218.3065030149569</v>
      </c>
      <c r="V39" s="18">
        <v>-4464.5307282291606</v>
      </c>
      <c r="W39" s="18">
        <v>-4283.326395521588</v>
      </c>
      <c r="X39" s="18">
        <v>-3962.2654674029395</v>
      </c>
      <c r="Y39" s="18">
        <v>-4027.5820745987467</v>
      </c>
      <c r="Z39" s="18">
        <v>-4734.2808429434926</v>
      </c>
      <c r="AA39" s="18">
        <v>-5537.7422973871899</v>
      </c>
      <c r="AB39" s="18">
        <v>-4317.8135266547524</v>
      </c>
      <c r="AC39" s="18">
        <v>-5098.1998757049369</v>
      </c>
      <c r="AD39" s="19">
        <v>-4464.1261789317532</v>
      </c>
      <c r="AE39" s="19">
        <v>-3898.2687478221283</v>
      </c>
      <c r="AF39" s="19">
        <v>-4227.4677506865646</v>
      </c>
      <c r="AG39" s="19">
        <v>-4687.7138151024419</v>
      </c>
      <c r="AH39" s="18">
        <v>21.367232203968999</v>
      </c>
      <c r="AI39" s="31"/>
    </row>
    <row r="40" spans="2:35" x14ac:dyDescent="0.25">
      <c r="B40" s="16" t="s">
        <v>89</v>
      </c>
      <c r="C40" s="18">
        <v>20.244460656729931</v>
      </c>
      <c r="D40" s="18">
        <v>20.244460656729931</v>
      </c>
      <c r="E40" s="18">
        <v>85.055401614104724</v>
      </c>
      <c r="F40" s="18">
        <v>58.083201842487519</v>
      </c>
      <c r="G40" s="18">
        <v>24.641726687165491</v>
      </c>
      <c r="H40" s="18">
        <v>63.954134422265653</v>
      </c>
      <c r="I40" s="18">
        <v>88.766506065047736</v>
      </c>
      <c r="J40" s="18">
        <v>41.612158128609202</v>
      </c>
      <c r="K40" s="18">
        <v>95.214878694212103</v>
      </c>
      <c r="L40" s="18">
        <v>21.77481495053819</v>
      </c>
      <c r="M40" s="18">
        <v>125.61882922389314</v>
      </c>
      <c r="N40" s="18">
        <v>74.18507400962767</v>
      </c>
      <c r="O40" s="18">
        <v>258.49299248890162</v>
      </c>
      <c r="P40" s="18">
        <v>258.54965164627731</v>
      </c>
      <c r="Q40" s="18">
        <v>146.69502376038506</v>
      </c>
      <c r="R40" s="18">
        <v>147.99799263274508</v>
      </c>
      <c r="S40" s="18">
        <v>102.45498315825823</v>
      </c>
      <c r="T40" s="18">
        <v>-0.86603963792991001</v>
      </c>
      <c r="U40" s="18">
        <v>70.693178213160394</v>
      </c>
      <c r="V40" s="18">
        <v>249.33579207255281</v>
      </c>
      <c r="W40" s="18">
        <v>13.356336791970969</v>
      </c>
      <c r="X40" s="18">
        <v>-74.398030540178098</v>
      </c>
      <c r="Y40" s="18">
        <v>44.848083877926051</v>
      </c>
      <c r="Z40" s="18">
        <v>101.59764657397962</v>
      </c>
      <c r="AA40" s="18">
        <v>39.264167787819297</v>
      </c>
      <c r="AB40" s="18">
        <v>1.6869817298580401</v>
      </c>
      <c r="AC40" s="18">
        <v>-9.4559773005731103</v>
      </c>
      <c r="AD40" s="19">
        <v>-42.967287159748352</v>
      </c>
      <c r="AE40" s="19">
        <v>-43.19472459537932</v>
      </c>
      <c r="AF40" s="19">
        <v>-129.28329974434979</v>
      </c>
      <c r="AG40" s="19">
        <v>-110.14181425200611</v>
      </c>
      <c r="AH40" s="18">
        <v>-644.05901999365597</v>
      </c>
      <c r="AI40" s="31"/>
    </row>
    <row r="41" spans="2:35" ht="14.25" customHeight="1" x14ac:dyDescent="0.25">
      <c r="B41" s="16" t="s">
        <v>90</v>
      </c>
      <c r="C41" s="18">
        <v>6964.3590246177046</v>
      </c>
      <c r="D41" s="18">
        <v>6964.3590246177046</v>
      </c>
      <c r="E41" s="18">
        <v>7048.0547723235513</v>
      </c>
      <c r="F41" s="18">
        <v>6507.0758702414232</v>
      </c>
      <c r="G41" s="18">
        <v>6122.0599084259684</v>
      </c>
      <c r="H41" s="18">
        <v>6001.0144143956759</v>
      </c>
      <c r="I41" s="18">
        <v>6205.082769733197</v>
      </c>
      <c r="J41" s="18">
        <v>5863.5516321029318</v>
      </c>
      <c r="K41" s="18">
        <v>6263.6316668405752</v>
      </c>
      <c r="L41" s="18">
        <v>5996.9201806774345</v>
      </c>
      <c r="M41" s="18">
        <v>5957.1799334316784</v>
      </c>
      <c r="N41" s="18">
        <v>6592.7702862040715</v>
      </c>
      <c r="O41" s="18">
        <v>6426.3627421954579</v>
      </c>
      <c r="P41" s="18">
        <v>6821.3190965479189</v>
      </c>
      <c r="Q41" s="18">
        <v>6505.4236476508131</v>
      </c>
      <c r="R41" s="18">
        <v>6203.7170413129916</v>
      </c>
      <c r="S41" s="18">
        <v>6485.7420412732481</v>
      </c>
      <c r="T41" s="18">
        <v>6347.3596367074515</v>
      </c>
      <c r="U41" s="18">
        <v>6346.839094138385</v>
      </c>
      <c r="V41" s="18">
        <v>6592.0165474455425</v>
      </c>
      <c r="W41" s="18">
        <v>6761.0306847936181</v>
      </c>
      <c r="X41" s="18">
        <v>6546.2358676943441</v>
      </c>
      <c r="Y41" s="18">
        <v>6573.6990656412545</v>
      </c>
      <c r="Z41" s="18">
        <v>6714.7369854085218</v>
      </c>
      <c r="AA41" s="18">
        <v>7070.0466839495275</v>
      </c>
      <c r="AB41" s="18">
        <v>6543.2452125980608</v>
      </c>
      <c r="AC41" s="18">
        <v>6573.5254750317472</v>
      </c>
      <c r="AD41" s="19">
        <v>6616.5626536732661</v>
      </c>
      <c r="AE41" s="19">
        <v>6596.1542804385017</v>
      </c>
      <c r="AF41" s="19">
        <v>6683.1868970782334</v>
      </c>
      <c r="AG41" s="19">
        <v>6684.0953923280385</v>
      </c>
      <c r="AH41" s="18">
        <v>-4.0242559480200004</v>
      </c>
      <c r="AI41" s="31"/>
    </row>
    <row r="42" spans="2:35" x14ac:dyDescent="0.25">
      <c r="B42" s="16" t="s">
        <v>91</v>
      </c>
      <c r="C42" s="18">
        <v>1735.3005530285438</v>
      </c>
      <c r="D42" s="18">
        <v>1735.3005530285438</v>
      </c>
      <c r="E42" s="18">
        <v>1583.0035189833679</v>
      </c>
      <c r="F42" s="18">
        <v>1485.7915950531649</v>
      </c>
      <c r="G42" s="18">
        <v>2015.0622301124956</v>
      </c>
      <c r="H42" s="18">
        <v>1846.7555743964444</v>
      </c>
      <c r="I42" s="18">
        <v>2228.4670245139991</v>
      </c>
      <c r="J42" s="18">
        <v>2099.2051363048072</v>
      </c>
      <c r="K42" s="18">
        <v>1895.4625693689634</v>
      </c>
      <c r="L42" s="18">
        <v>1686.1253561437325</v>
      </c>
      <c r="M42" s="18">
        <v>1664.0249455342507</v>
      </c>
      <c r="N42" s="18">
        <v>1643.3446659569493</v>
      </c>
      <c r="O42" s="18">
        <v>2855.70675347114</v>
      </c>
      <c r="P42" s="18">
        <v>2200.8735939590497</v>
      </c>
      <c r="Q42" s="18">
        <v>3039.1946018781182</v>
      </c>
      <c r="R42" s="18">
        <v>2553.3696820293017</v>
      </c>
      <c r="S42" s="18">
        <v>2613.7678773770285</v>
      </c>
      <c r="T42" s="18">
        <v>2218.8177234389636</v>
      </c>
      <c r="U42" s="18">
        <v>2361.6821578265399</v>
      </c>
      <c r="V42" s="18">
        <v>1989.8682164912718</v>
      </c>
      <c r="W42" s="18">
        <v>1821.1874542107437</v>
      </c>
      <c r="X42" s="18">
        <v>3151.8349959324078</v>
      </c>
      <c r="Y42" s="18">
        <v>2668.9310286788955</v>
      </c>
      <c r="Z42" s="18">
        <v>2006.1615470437821</v>
      </c>
      <c r="AA42" s="18">
        <v>2709.8934961390964</v>
      </c>
      <c r="AB42" s="18">
        <v>3333.2687088436764</v>
      </c>
      <c r="AC42" s="18">
        <v>3898.3935832897332</v>
      </c>
      <c r="AD42" s="19">
        <v>2788.6579423475823</v>
      </c>
      <c r="AE42" s="19">
        <v>3450.9670636968617</v>
      </c>
      <c r="AF42" s="19">
        <v>2315.7431958474267</v>
      </c>
      <c r="AG42" s="19">
        <v>2212.3157064799975</v>
      </c>
      <c r="AH42" s="18">
        <v>27.488906899669001</v>
      </c>
      <c r="AI42" s="31"/>
    </row>
    <row r="43" spans="2:35" x14ac:dyDescent="0.25">
      <c r="B43" s="16" t="s">
        <v>92</v>
      </c>
      <c r="C43" s="18">
        <v>80.456230689129725</v>
      </c>
      <c r="D43" s="18">
        <v>80.456230689129725</v>
      </c>
      <c r="E43" s="18">
        <v>70.460096028889197</v>
      </c>
      <c r="F43" s="18">
        <v>83.615213121575451</v>
      </c>
      <c r="G43" s="18">
        <v>71.367641980219148</v>
      </c>
      <c r="H43" s="18">
        <v>103.4260082619185</v>
      </c>
      <c r="I43" s="18">
        <v>109.1114552148351</v>
      </c>
      <c r="J43" s="18">
        <v>124.57845947087363</v>
      </c>
      <c r="K43" s="18">
        <v>138.29067623549085</v>
      </c>
      <c r="L43" s="18">
        <v>153.23570634651784</v>
      </c>
      <c r="M43" s="18">
        <v>168.17608148325735</v>
      </c>
      <c r="N43" s="18">
        <v>194.13048282060572</v>
      </c>
      <c r="O43" s="18">
        <v>247.80008355850396</v>
      </c>
      <c r="P43" s="18">
        <v>234.56349158116566</v>
      </c>
      <c r="Q43" s="18">
        <v>287.78115854130311</v>
      </c>
      <c r="R43" s="18">
        <v>311.23593660474648</v>
      </c>
      <c r="S43" s="18">
        <v>330.43854531629086</v>
      </c>
      <c r="T43" s="18">
        <v>416.57986446459557</v>
      </c>
      <c r="U43" s="18">
        <v>535.24764334929318</v>
      </c>
      <c r="V43" s="18">
        <v>429.56455532428907</v>
      </c>
      <c r="W43" s="18">
        <v>216.87175210048386</v>
      </c>
      <c r="X43" s="18">
        <v>229.04150691543401</v>
      </c>
      <c r="Y43" s="18">
        <v>54.022021521090529</v>
      </c>
      <c r="Z43" s="18">
        <v>251.35998189368462</v>
      </c>
      <c r="AA43" s="18">
        <v>61.973647531926552</v>
      </c>
      <c r="AB43" s="18">
        <v>52.833487621689883</v>
      </c>
      <c r="AC43" s="18">
        <v>66.957904975840805</v>
      </c>
      <c r="AD43" s="19">
        <v>72.091738862578126</v>
      </c>
      <c r="AE43" s="19">
        <v>101.28854261450043</v>
      </c>
      <c r="AF43" s="19">
        <v>93.852924134582011</v>
      </c>
      <c r="AG43" s="19">
        <v>129.38695360367768</v>
      </c>
      <c r="AH43" s="18">
        <v>60.816573800988003</v>
      </c>
      <c r="AI43" s="31"/>
    </row>
    <row r="44" spans="2:35" x14ac:dyDescent="0.25">
      <c r="B44" s="16" t="s">
        <v>93</v>
      </c>
      <c r="C44" s="18">
        <v>0.81165511631523002</v>
      </c>
      <c r="D44" s="18">
        <v>0.81165511631523002</v>
      </c>
      <c r="E44" s="18">
        <v>0.82052844964855998</v>
      </c>
      <c r="F44" s="18">
        <v>0.82940178298190004</v>
      </c>
      <c r="G44" s="18">
        <v>0.83827511631523</v>
      </c>
      <c r="H44" s="18">
        <v>0.84714844964855995</v>
      </c>
      <c r="I44" s="18">
        <v>20.744522509058349</v>
      </c>
      <c r="J44" s="18">
        <v>24.884000642391719</v>
      </c>
      <c r="K44" s="18">
        <v>25.152620642391721</v>
      </c>
      <c r="L44" s="18">
        <v>25.421240642391719</v>
      </c>
      <c r="M44" s="18">
        <v>25.689860642391722</v>
      </c>
      <c r="N44" s="18">
        <v>40.801880088513101</v>
      </c>
      <c r="O44" s="18">
        <v>44.11994637257105</v>
      </c>
      <c r="P44" s="18">
        <v>44.540879705904381</v>
      </c>
      <c r="Q44" s="18">
        <v>44.961813039237711</v>
      </c>
      <c r="R44" s="18">
        <v>45.382746372571049</v>
      </c>
      <c r="S44" s="18">
        <v>45.803679705904337</v>
      </c>
      <c r="T44" s="18">
        <v>1450.3397333333346</v>
      </c>
      <c r="U44" s="18">
        <v>9.4864000000000104</v>
      </c>
      <c r="V44" s="18">
        <v>19.620474222224789</v>
      </c>
      <c r="W44" s="18">
        <v>11.09973333333334</v>
      </c>
      <c r="X44" s="18">
        <v>11.09086000000001</v>
      </c>
      <c r="Y44" s="18">
        <v>11.08198666666668</v>
      </c>
      <c r="Z44" s="18">
        <v>11.073113333333341</v>
      </c>
      <c r="AA44" s="18">
        <v>11.064240000000011</v>
      </c>
      <c r="AB44" s="18">
        <v>11.064240000000011</v>
      </c>
      <c r="AC44" s="18">
        <v>10.78674666666668</v>
      </c>
      <c r="AD44" s="19">
        <v>10.51812666666668</v>
      </c>
      <c r="AE44" s="19">
        <v>10.249506666666679</v>
      </c>
      <c r="AF44" s="19">
        <v>9.9808866666666791</v>
      </c>
      <c r="AG44" s="19">
        <v>9.7139732776554002</v>
      </c>
      <c r="AH44" s="18">
        <v>1096.81045340478</v>
      </c>
      <c r="AI44" s="31"/>
    </row>
    <row r="45" spans="2:35" x14ac:dyDescent="0.25">
      <c r="B45" s="16" t="s">
        <v>94</v>
      </c>
      <c r="C45" s="18">
        <v>-413.04346724561293</v>
      </c>
      <c r="D45" s="18">
        <v>-413.04346724561293</v>
      </c>
      <c r="E45" s="18">
        <v>-409.63256329952986</v>
      </c>
      <c r="F45" s="18">
        <v>-560.58435398918311</v>
      </c>
      <c r="G45" s="18">
        <v>-586.39636072434257</v>
      </c>
      <c r="H45" s="18">
        <v>-645.75661766327653</v>
      </c>
      <c r="I45" s="18">
        <v>-679.6987194214139</v>
      </c>
      <c r="J45" s="18">
        <v>-789.71736236649281</v>
      </c>
      <c r="K45" s="18">
        <v>-793.8755872269578</v>
      </c>
      <c r="L45" s="18">
        <v>-903.22609308217091</v>
      </c>
      <c r="M45" s="18">
        <v>-887.08728427460323</v>
      </c>
      <c r="N45" s="18">
        <v>-1123.2520265120611</v>
      </c>
      <c r="O45" s="18">
        <v>-1115.954720834636</v>
      </c>
      <c r="P45" s="18">
        <v>-953.41024676874827</v>
      </c>
      <c r="Q45" s="18">
        <v>-1181.8684799605053</v>
      </c>
      <c r="R45" s="18">
        <v>-1090.4073620610397</v>
      </c>
      <c r="S45" s="18">
        <v>-1129.6709814516839</v>
      </c>
      <c r="T45" s="18">
        <v>-1273.9201060138962</v>
      </c>
      <c r="U45" s="18">
        <v>-1198.271990624979</v>
      </c>
      <c r="V45" s="18">
        <v>-688.15705012966407</v>
      </c>
      <c r="W45" s="18">
        <v>-708.48601724181174</v>
      </c>
      <c r="X45" s="18">
        <v>-818.73005337671043</v>
      </c>
      <c r="Y45" s="18">
        <v>-741.72471574150427</v>
      </c>
      <c r="Z45" s="18">
        <v>-668.59050040934176</v>
      </c>
      <c r="AA45" s="18">
        <v>-662.32814564099601</v>
      </c>
      <c r="AB45" s="18">
        <v>-763.17068152749141</v>
      </c>
      <c r="AC45" s="18">
        <v>-728.72017483065918</v>
      </c>
      <c r="AD45" s="19">
        <v>-803.69997277670166</v>
      </c>
      <c r="AE45" s="19">
        <v>-868.83218682149072</v>
      </c>
      <c r="AF45" s="19">
        <v>-825.65706507089385</v>
      </c>
      <c r="AG45" s="19">
        <v>-617.93320245022664</v>
      </c>
      <c r="AH45" s="18">
        <v>49.604884582952998</v>
      </c>
      <c r="AI45" s="31"/>
    </row>
    <row r="46" spans="2:35" x14ac:dyDescent="0.25">
      <c r="B46" s="16" t="s">
        <v>131</v>
      </c>
      <c r="C46" s="18" t="s">
        <v>65</v>
      </c>
      <c r="D46" s="18" t="s">
        <v>65</v>
      </c>
      <c r="E46" s="18" t="s">
        <v>65</v>
      </c>
      <c r="F46" s="18" t="s">
        <v>65</v>
      </c>
      <c r="G46" s="18" t="s">
        <v>65</v>
      </c>
      <c r="H46" s="18" t="s">
        <v>65</v>
      </c>
      <c r="I46" s="18" t="s">
        <v>65</v>
      </c>
      <c r="J46" s="18" t="s">
        <v>65</v>
      </c>
      <c r="K46" s="18" t="s">
        <v>65</v>
      </c>
      <c r="L46" s="18" t="s">
        <v>65</v>
      </c>
      <c r="M46" s="18" t="s">
        <v>65</v>
      </c>
      <c r="N46" s="18" t="s">
        <v>65</v>
      </c>
      <c r="O46" s="18" t="s">
        <v>65</v>
      </c>
      <c r="P46" s="18" t="s">
        <v>65</v>
      </c>
      <c r="Q46" s="18" t="s">
        <v>65</v>
      </c>
      <c r="R46" s="18" t="s">
        <v>65</v>
      </c>
      <c r="S46" s="18" t="s">
        <v>65</v>
      </c>
      <c r="T46" s="18" t="s">
        <v>65</v>
      </c>
      <c r="U46" s="18" t="s">
        <v>65</v>
      </c>
      <c r="V46" s="18" t="s">
        <v>65</v>
      </c>
      <c r="W46" s="18" t="s">
        <v>65</v>
      </c>
      <c r="X46" s="18" t="s">
        <v>65</v>
      </c>
      <c r="Y46" s="18" t="s">
        <v>65</v>
      </c>
      <c r="Z46" s="18" t="s">
        <v>65</v>
      </c>
      <c r="AA46" s="18" t="s">
        <v>65</v>
      </c>
      <c r="AB46" s="18" t="s">
        <v>65</v>
      </c>
      <c r="AC46" s="18" t="s">
        <v>65</v>
      </c>
      <c r="AD46" s="19" t="s">
        <v>65</v>
      </c>
      <c r="AE46" s="19" t="s">
        <v>65</v>
      </c>
      <c r="AF46" s="19" t="s">
        <v>65</v>
      </c>
      <c r="AG46" s="19" t="s">
        <v>65</v>
      </c>
      <c r="AH46" s="18">
        <v>0</v>
      </c>
      <c r="AI46" s="31"/>
    </row>
    <row r="47" spans="2:35" x14ac:dyDescent="0.25">
      <c r="B47" s="15" t="s">
        <v>96</v>
      </c>
      <c r="C47" s="14">
        <v>95.586393100615709</v>
      </c>
      <c r="D47" s="14">
        <v>95.586393100615709</v>
      </c>
      <c r="E47" s="14">
        <v>95.701568661959499</v>
      </c>
      <c r="F47" s="14">
        <v>96.409777034925014</v>
      </c>
      <c r="G47" s="14">
        <v>97.146005771354794</v>
      </c>
      <c r="H47" s="14">
        <v>97.743558859034962</v>
      </c>
      <c r="I47" s="14">
        <v>98.1600335732833</v>
      </c>
      <c r="J47" s="14">
        <v>98.185391741055099</v>
      </c>
      <c r="K47" s="14">
        <v>82.52945741203483</v>
      </c>
      <c r="L47" s="14">
        <v>64.743899658318327</v>
      </c>
      <c r="M47" s="14">
        <v>71.990219596908574</v>
      </c>
      <c r="N47" s="14">
        <v>76.747551833598067</v>
      </c>
      <c r="O47" s="14">
        <v>85.297958777457879</v>
      </c>
      <c r="P47" s="14">
        <v>108.25982963815788</v>
      </c>
      <c r="Q47" s="14">
        <v>153.17601138730458</v>
      </c>
      <c r="R47" s="14">
        <v>143.6397954826584</v>
      </c>
      <c r="S47" s="14">
        <v>128.49588098665768</v>
      </c>
      <c r="T47" s="14">
        <v>126.03620618235632</v>
      </c>
      <c r="U47" s="14">
        <v>83.070144766725235</v>
      </c>
      <c r="V47" s="14">
        <v>68.010329379495545</v>
      </c>
      <c r="W47" s="14">
        <v>69.481061204742446</v>
      </c>
      <c r="X47" s="14">
        <v>61.015934692261041</v>
      </c>
      <c r="Y47" s="14">
        <v>43.824279636887987</v>
      </c>
      <c r="Z47" s="14">
        <v>47.595212196436158</v>
      </c>
      <c r="AA47" s="14">
        <v>44.555258364823317</v>
      </c>
      <c r="AB47" s="14">
        <v>41.12491951987716</v>
      </c>
      <c r="AC47" s="14">
        <v>41.849098806649948</v>
      </c>
      <c r="AD47" s="14">
        <v>24.650008230852372</v>
      </c>
      <c r="AE47" s="14">
        <v>27.037659067065391</v>
      </c>
      <c r="AF47" s="14">
        <v>23.49070589395857</v>
      </c>
      <c r="AG47" s="14">
        <v>31.9670518672919</v>
      </c>
      <c r="AH47" s="14">
        <v>-66.556901217475001</v>
      </c>
      <c r="AI47" s="31"/>
    </row>
    <row r="48" spans="2:35" x14ac:dyDescent="0.25">
      <c r="B48" s="16" t="s">
        <v>97</v>
      </c>
      <c r="C48" s="18" t="s">
        <v>65</v>
      </c>
      <c r="D48" s="18" t="s">
        <v>65</v>
      </c>
      <c r="E48" s="18" t="s">
        <v>65</v>
      </c>
      <c r="F48" s="18" t="s">
        <v>65</v>
      </c>
      <c r="G48" s="18" t="s">
        <v>65</v>
      </c>
      <c r="H48" s="18" t="s">
        <v>65</v>
      </c>
      <c r="I48" s="18" t="s">
        <v>65</v>
      </c>
      <c r="J48" s="18" t="s">
        <v>65</v>
      </c>
      <c r="K48" s="18" t="s">
        <v>65</v>
      </c>
      <c r="L48" s="18" t="s">
        <v>65</v>
      </c>
      <c r="M48" s="18" t="s">
        <v>65</v>
      </c>
      <c r="N48" s="18" t="s">
        <v>65</v>
      </c>
      <c r="O48" s="18" t="s">
        <v>65</v>
      </c>
      <c r="P48" s="18" t="s">
        <v>65</v>
      </c>
      <c r="Q48" s="18" t="s">
        <v>65</v>
      </c>
      <c r="R48" s="18" t="s">
        <v>65</v>
      </c>
      <c r="S48" s="18" t="s">
        <v>65</v>
      </c>
      <c r="T48" s="18" t="s">
        <v>65</v>
      </c>
      <c r="U48" s="18" t="s">
        <v>65</v>
      </c>
      <c r="V48" s="18" t="s">
        <v>65</v>
      </c>
      <c r="W48" s="18" t="s">
        <v>65</v>
      </c>
      <c r="X48" s="18" t="s">
        <v>65</v>
      </c>
      <c r="Y48" s="18" t="s">
        <v>65</v>
      </c>
      <c r="Z48" s="18" t="s">
        <v>65</v>
      </c>
      <c r="AA48" s="18" t="s">
        <v>65</v>
      </c>
      <c r="AB48" s="18" t="s">
        <v>65</v>
      </c>
      <c r="AC48" s="18" t="s">
        <v>65</v>
      </c>
      <c r="AD48" s="19" t="s">
        <v>65</v>
      </c>
      <c r="AE48" s="19" t="s">
        <v>65</v>
      </c>
      <c r="AF48" s="19" t="s">
        <v>65</v>
      </c>
      <c r="AG48" s="19" t="s">
        <v>65</v>
      </c>
      <c r="AH48" s="18">
        <v>0</v>
      </c>
      <c r="AI48" s="31"/>
    </row>
    <row r="49" spans="2:35" x14ac:dyDescent="0.25">
      <c r="B49" s="16" t="s">
        <v>98</v>
      </c>
      <c r="C49" s="25" t="s">
        <v>69</v>
      </c>
      <c r="D49" s="25" t="s">
        <v>69</v>
      </c>
      <c r="E49" s="25" t="s">
        <v>69</v>
      </c>
      <c r="F49" s="25" t="s">
        <v>69</v>
      </c>
      <c r="G49" s="25" t="s">
        <v>69</v>
      </c>
      <c r="H49" s="25" t="s">
        <v>69</v>
      </c>
      <c r="I49" s="25" t="s">
        <v>69</v>
      </c>
      <c r="J49" s="25" t="s">
        <v>69</v>
      </c>
      <c r="K49" s="25" t="s">
        <v>69</v>
      </c>
      <c r="L49" s="25" t="s">
        <v>69</v>
      </c>
      <c r="M49" s="25" t="s">
        <v>69</v>
      </c>
      <c r="N49" s="25" t="s">
        <v>69</v>
      </c>
      <c r="O49" s="25" t="s">
        <v>69</v>
      </c>
      <c r="P49" s="25" t="s">
        <v>69</v>
      </c>
      <c r="Q49" s="25" t="s">
        <v>69</v>
      </c>
      <c r="R49" s="25" t="s">
        <v>69</v>
      </c>
      <c r="S49" s="25" t="s">
        <v>69</v>
      </c>
      <c r="T49" s="25" t="s">
        <v>69</v>
      </c>
      <c r="U49" s="25" t="s">
        <v>69</v>
      </c>
      <c r="V49" s="25" t="s">
        <v>69</v>
      </c>
      <c r="W49" s="25" t="s">
        <v>69</v>
      </c>
      <c r="X49" s="25" t="s">
        <v>69</v>
      </c>
      <c r="Y49" s="25" t="s">
        <v>69</v>
      </c>
      <c r="Z49" s="25" t="s">
        <v>69</v>
      </c>
      <c r="AA49" s="25" t="s">
        <v>69</v>
      </c>
      <c r="AB49" s="25" t="s">
        <v>69</v>
      </c>
      <c r="AC49" s="25" t="s">
        <v>69</v>
      </c>
      <c r="AD49" s="25" t="s">
        <v>69</v>
      </c>
      <c r="AE49" s="25" t="s">
        <v>69</v>
      </c>
      <c r="AF49" s="25" t="s">
        <v>69</v>
      </c>
      <c r="AG49" s="25" t="s">
        <v>69</v>
      </c>
      <c r="AH49" s="25" t="s">
        <v>69</v>
      </c>
      <c r="AI49" s="31"/>
    </row>
    <row r="50" spans="2:35" x14ac:dyDescent="0.25">
      <c r="B50" s="16" t="s">
        <v>99</v>
      </c>
      <c r="C50" s="18">
        <v>95.586393100615709</v>
      </c>
      <c r="D50" s="18">
        <v>95.586393100615709</v>
      </c>
      <c r="E50" s="18">
        <v>95.701568661959499</v>
      </c>
      <c r="F50" s="18">
        <v>96.409777034925014</v>
      </c>
      <c r="G50" s="18">
        <v>97.146005771354794</v>
      </c>
      <c r="H50" s="18">
        <v>97.743558859034962</v>
      </c>
      <c r="I50" s="18">
        <v>98.1600335732833</v>
      </c>
      <c r="J50" s="18">
        <v>98.185391741055099</v>
      </c>
      <c r="K50" s="18">
        <v>82.52945741203483</v>
      </c>
      <c r="L50" s="18">
        <v>64.743899658318327</v>
      </c>
      <c r="M50" s="18">
        <v>71.990219596908574</v>
      </c>
      <c r="N50" s="18">
        <v>76.747551833598067</v>
      </c>
      <c r="O50" s="18">
        <v>85.297958777457879</v>
      </c>
      <c r="P50" s="18">
        <v>108.25982963815788</v>
      </c>
      <c r="Q50" s="18">
        <v>153.17601138730458</v>
      </c>
      <c r="R50" s="18">
        <v>143.6397954826584</v>
      </c>
      <c r="S50" s="18">
        <v>128.49588098665768</v>
      </c>
      <c r="T50" s="18">
        <v>126.03620618235632</v>
      </c>
      <c r="U50" s="18">
        <v>83.070144766725235</v>
      </c>
      <c r="V50" s="18">
        <v>68.010329379495545</v>
      </c>
      <c r="W50" s="18">
        <v>69.481061204742446</v>
      </c>
      <c r="X50" s="18">
        <v>61.015934692261041</v>
      </c>
      <c r="Y50" s="18">
        <v>43.824279636887987</v>
      </c>
      <c r="Z50" s="18">
        <v>47.595212196436158</v>
      </c>
      <c r="AA50" s="18">
        <v>44.555258364823317</v>
      </c>
      <c r="AB50" s="18">
        <v>41.12491951987716</v>
      </c>
      <c r="AC50" s="18">
        <v>41.849098806649948</v>
      </c>
      <c r="AD50" s="19">
        <v>24.650008230852372</v>
      </c>
      <c r="AE50" s="19">
        <v>27.037659067065391</v>
      </c>
      <c r="AF50" s="19">
        <v>23.49070589395857</v>
      </c>
      <c r="AG50" s="19">
        <v>31.9670518672919</v>
      </c>
      <c r="AH50" s="18">
        <v>-66.556901217475001</v>
      </c>
      <c r="AI50" s="31"/>
    </row>
    <row r="51" spans="2:35" x14ac:dyDescent="0.25">
      <c r="B51" s="16" t="s">
        <v>100</v>
      </c>
      <c r="C51" s="25" t="s">
        <v>69</v>
      </c>
      <c r="D51" s="25" t="s">
        <v>69</v>
      </c>
      <c r="E51" s="25" t="s">
        <v>69</v>
      </c>
      <c r="F51" s="25" t="s">
        <v>69</v>
      </c>
      <c r="G51" s="25" t="s">
        <v>69</v>
      </c>
      <c r="H51" s="25" t="s">
        <v>69</v>
      </c>
      <c r="I51" s="25" t="s">
        <v>69</v>
      </c>
      <c r="J51" s="25" t="s">
        <v>69</v>
      </c>
      <c r="K51" s="25" t="s">
        <v>69</v>
      </c>
      <c r="L51" s="25" t="s">
        <v>69</v>
      </c>
      <c r="M51" s="25" t="s">
        <v>69</v>
      </c>
      <c r="N51" s="25" t="s">
        <v>69</v>
      </c>
      <c r="O51" s="25" t="s">
        <v>69</v>
      </c>
      <c r="P51" s="25" t="s">
        <v>69</v>
      </c>
      <c r="Q51" s="25" t="s">
        <v>69</v>
      </c>
      <c r="R51" s="25" t="s">
        <v>69</v>
      </c>
      <c r="S51" s="25" t="s">
        <v>69</v>
      </c>
      <c r="T51" s="25" t="s">
        <v>69</v>
      </c>
      <c r="U51" s="25" t="s">
        <v>69</v>
      </c>
      <c r="V51" s="25" t="s">
        <v>69</v>
      </c>
      <c r="W51" s="25" t="s">
        <v>69</v>
      </c>
      <c r="X51" s="25" t="s">
        <v>69</v>
      </c>
      <c r="Y51" s="25" t="s">
        <v>69</v>
      </c>
      <c r="Z51" s="25" t="s">
        <v>69</v>
      </c>
      <c r="AA51" s="25" t="s">
        <v>69</v>
      </c>
      <c r="AB51" s="25" t="s">
        <v>69</v>
      </c>
      <c r="AC51" s="25" t="s">
        <v>69</v>
      </c>
      <c r="AD51" s="25" t="s">
        <v>69</v>
      </c>
      <c r="AE51" s="25" t="s">
        <v>69</v>
      </c>
      <c r="AF51" s="25" t="s">
        <v>69</v>
      </c>
      <c r="AG51" s="25" t="s">
        <v>69</v>
      </c>
      <c r="AH51" s="25" t="s">
        <v>69</v>
      </c>
      <c r="AI51" s="31"/>
    </row>
    <row r="52" spans="2:35" ht="12" x14ac:dyDescent="0.25">
      <c r="B52" s="16" t="s">
        <v>101</v>
      </c>
      <c r="C52" s="18" t="s">
        <v>65</v>
      </c>
      <c r="D52" s="18" t="s">
        <v>65</v>
      </c>
      <c r="E52" s="18" t="s">
        <v>65</v>
      </c>
      <c r="F52" s="18" t="s">
        <v>65</v>
      </c>
      <c r="G52" s="18" t="s">
        <v>65</v>
      </c>
      <c r="H52" s="18" t="s">
        <v>65</v>
      </c>
      <c r="I52" s="18" t="s">
        <v>65</v>
      </c>
      <c r="J52" s="18" t="s">
        <v>65</v>
      </c>
      <c r="K52" s="18" t="s">
        <v>65</v>
      </c>
      <c r="L52" s="18" t="s">
        <v>65</v>
      </c>
      <c r="M52" s="18" t="s">
        <v>65</v>
      </c>
      <c r="N52" s="18" t="s">
        <v>65</v>
      </c>
      <c r="O52" s="18" t="s">
        <v>65</v>
      </c>
      <c r="P52" s="18" t="s">
        <v>65</v>
      </c>
      <c r="Q52" s="18" t="s">
        <v>65</v>
      </c>
      <c r="R52" s="18" t="s">
        <v>65</v>
      </c>
      <c r="S52" s="18" t="s">
        <v>65</v>
      </c>
      <c r="T52" s="18" t="s">
        <v>65</v>
      </c>
      <c r="U52" s="18" t="s">
        <v>65</v>
      </c>
      <c r="V52" s="18" t="s">
        <v>65</v>
      </c>
      <c r="W52" s="18" t="s">
        <v>65</v>
      </c>
      <c r="X52" s="18" t="s">
        <v>65</v>
      </c>
      <c r="Y52" s="18" t="s">
        <v>65</v>
      </c>
      <c r="Z52" s="18" t="s">
        <v>65</v>
      </c>
      <c r="AA52" s="18" t="s">
        <v>65</v>
      </c>
      <c r="AB52" s="18" t="s">
        <v>65</v>
      </c>
      <c r="AC52" s="18" t="s">
        <v>65</v>
      </c>
      <c r="AD52" s="19" t="s">
        <v>65</v>
      </c>
      <c r="AE52" s="19" t="s">
        <v>65</v>
      </c>
      <c r="AF52" s="19" t="s">
        <v>65</v>
      </c>
      <c r="AG52" s="19" t="s">
        <v>65</v>
      </c>
      <c r="AH52" s="18">
        <v>0</v>
      </c>
      <c r="AI52" s="31"/>
    </row>
    <row r="53" spans="2:35" ht="12" x14ac:dyDescent="0.25">
      <c r="B53" s="23" t="s">
        <v>102</v>
      </c>
      <c r="C53" s="14" t="s">
        <v>65</v>
      </c>
      <c r="D53" s="14" t="s">
        <v>65</v>
      </c>
      <c r="E53" s="14" t="s">
        <v>65</v>
      </c>
      <c r="F53" s="14" t="s">
        <v>65</v>
      </c>
      <c r="G53" s="14" t="s">
        <v>65</v>
      </c>
      <c r="H53" s="14" t="s">
        <v>65</v>
      </c>
      <c r="I53" s="14" t="s">
        <v>65</v>
      </c>
      <c r="J53" s="14" t="s">
        <v>65</v>
      </c>
      <c r="K53" s="14" t="s">
        <v>65</v>
      </c>
      <c r="L53" s="14" t="s">
        <v>65</v>
      </c>
      <c r="M53" s="14" t="s">
        <v>65</v>
      </c>
      <c r="N53" s="14" t="s">
        <v>65</v>
      </c>
      <c r="O53" s="14" t="s">
        <v>65</v>
      </c>
      <c r="P53" s="14" t="s">
        <v>65</v>
      </c>
      <c r="Q53" s="14" t="s">
        <v>65</v>
      </c>
      <c r="R53" s="14" t="s">
        <v>65</v>
      </c>
      <c r="S53" s="14" t="s">
        <v>65</v>
      </c>
      <c r="T53" s="14" t="s">
        <v>65</v>
      </c>
      <c r="U53" s="14" t="s">
        <v>65</v>
      </c>
      <c r="V53" s="14" t="s">
        <v>65</v>
      </c>
      <c r="W53" s="14" t="s">
        <v>65</v>
      </c>
      <c r="X53" s="14" t="s">
        <v>65</v>
      </c>
      <c r="Y53" s="14" t="s">
        <v>65</v>
      </c>
      <c r="Z53" s="14" t="s">
        <v>65</v>
      </c>
      <c r="AA53" s="14" t="s">
        <v>65</v>
      </c>
      <c r="AB53" s="14" t="s">
        <v>65</v>
      </c>
      <c r="AC53" s="14" t="s">
        <v>65</v>
      </c>
      <c r="AD53" s="14" t="s">
        <v>65</v>
      </c>
      <c r="AE53" s="14" t="s">
        <v>65</v>
      </c>
      <c r="AF53" s="14" t="s">
        <v>65</v>
      </c>
      <c r="AG53" s="14" t="s">
        <v>65</v>
      </c>
      <c r="AH53" s="14">
        <v>0</v>
      </c>
      <c r="AI53" s="31"/>
    </row>
    <row r="54" spans="2:35" x14ac:dyDescent="0.25">
      <c r="B54" s="24" t="s">
        <v>132</v>
      </c>
      <c r="C54" s="25" t="s">
        <v>69</v>
      </c>
      <c r="D54" s="25" t="s">
        <v>69</v>
      </c>
      <c r="E54" s="25" t="s">
        <v>69</v>
      </c>
      <c r="F54" s="25" t="s">
        <v>69</v>
      </c>
      <c r="G54" s="25" t="s">
        <v>69</v>
      </c>
      <c r="H54" s="25" t="s">
        <v>69</v>
      </c>
      <c r="I54" s="25" t="s">
        <v>69</v>
      </c>
      <c r="J54" s="25" t="s">
        <v>69</v>
      </c>
      <c r="K54" s="25" t="s">
        <v>69</v>
      </c>
      <c r="L54" s="25" t="s">
        <v>69</v>
      </c>
      <c r="M54" s="25" t="s">
        <v>69</v>
      </c>
      <c r="N54" s="25" t="s">
        <v>69</v>
      </c>
      <c r="O54" s="25" t="s">
        <v>69</v>
      </c>
      <c r="P54" s="25" t="s">
        <v>69</v>
      </c>
      <c r="Q54" s="25" t="s">
        <v>69</v>
      </c>
      <c r="R54" s="25" t="s">
        <v>69</v>
      </c>
      <c r="S54" s="25" t="s">
        <v>69</v>
      </c>
      <c r="T54" s="25" t="s">
        <v>69</v>
      </c>
      <c r="U54" s="25" t="s">
        <v>69</v>
      </c>
      <c r="V54" s="25" t="s">
        <v>69</v>
      </c>
      <c r="W54" s="25" t="s">
        <v>69</v>
      </c>
      <c r="X54" s="25" t="s">
        <v>69</v>
      </c>
      <c r="Y54" s="25" t="s">
        <v>69</v>
      </c>
      <c r="Z54" s="25" t="s">
        <v>69</v>
      </c>
      <c r="AA54" s="25" t="s">
        <v>69</v>
      </c>
      <c r="AB54" s="25" t="s">
        <v>69</v>
      </c>
      <c r="AC54" s="25" t="s">
        <v>69</v>
      </c>
      <c r="AD54" s="25" t="s">
        <v>69</v>
      </c>
      <c r="AE54" s="25" t="s">
        <v>69</v>
      </c>
      <c r="AF54" s="25" t="s">
        <v>69</v>
      </c>
      <c r="AG54" s="25" t="s">
        <v>69</v>
      </c>
      <c r="AH54" s="25" t="s">
        <v>69</v>
      </c>
      <c r="AI54" s="31"/>
    </row>
    <row r="55" spans="2:35" x14ac:dyDescent="0.25">
      <c r="B55" s="24" t="s">
        <v>104</v>
      </c>
      <c r="C55" s="14">
        <v>1129.4675624160816</v>
      </c>
      <c r="D55" s="14">
        <v>1129.4675624160816</v>
      </c>
      <c r="E55" s="14">
        <v>1146.6086664298357</v>
      </c>
      <c r="F55" s="14">
        <v>958.2801444730228</v>
      </c>
      <c r="G55" s="14">
        <v>1512.0101342559317</v>
      </c>
      <c r="H55" s="14">
        <v>1311.3999600218094</v>
      </c>
      <c r="I55" s="14">
        <v>1523.2581181881817</v>
      </c>
      <c r="J55" s="14">
        <v>1558.4361099232879</v>
      </c>
      <c r="K55" s="14">
        <v>1758.1063785595957</v>
      </c>
      <c r="L55" s="14">
        <v>1818.4013499217988</v>
      </c>
      <c r="M55" s="14">
        <v>2105.4603380560866</v>
      </c>
      <c r="N55" s="14">
        <v>2292.8125994436273</v>
      </c>
      <c r="O55" s="14">
        <v>2703.1329866513065</v>
      </c>
      <c r="P55" s="14">
        <v>2787.1678358005643</v>
      </c>
      <c r="Q55" s="14">
        <v>2816.9372489477032</v>
      </c>
      <c r="R55" s="14">
        <v>2631.4676457443879</v>
      </c>
      <c r="S55" s="14">
        <v>2817.334720924775</v>
      </c>
      <c r="T55" s="14">
        <v>3270.9968045682335</v>
      </c>
      <c r="U55" s="14">
        <v>3396.2069768549472</v>
      </c>
      <c r="V55" s="14">
        <v>3045.9529413015166</v>
      </c>
      <c r="W55" s="14">
        <v>2533.7146808202037</v>
      </c>
      <c r="X55" s="14">
        <v>2736.7493892383995</v>
      </c>
      <c r="Y55" s="14">
        <v>2402.7574361703496</v>
      </c>
      <c r="Z55" s="14">
        <v>2135.2313053816147</v>
      </c>
      <c r="AA55" s="14">
        <v>2456.4781698964539</v>
      </c>
      <c r="AB55" s="14">
        <v>2638.9360564169142</v>
      </c>
      <c r="AC55" s="14">
        <v>3008.5979100570667</v>
      </c>
      <c r="AD55" s="14">
        <v>3072.901958696214</v>
      </c>
      <c r="AE55" s="14">
        <v>3517.2682696455245</v>
      </c>
      <c r="AF55" s="14">
        <v>3779.2199155701915</v>
      </c>
      <c r="AG55" s="14">
        <v>3757.1114303429463</v>
      </c>
      <c r="AH55" s="14">
        <v>232.644473853325</v>
      </c>
      <c r="AI55" s="31"/>
    </row>
    <row r="56" spans="2:35" x14ac:dyDescent="0.25">
      <c r="B56" s="26" t="s">
        <v>105</v>
      </c>
      <c r="C56" s="18">
        <v>1072.6918212730416</v>
      </c>
      <c r="D56" s="18">
        <v>1072.6918212730416</v>
      </c>
      <c r="E56" s="18">
        <v>1039.5684754071158</v>
      </c>
      <c r="F56" s="18">
        <v>904.80062407782282</v>
      </c>
      <c r="G56" s="18">
        <v>1341.3988850136916</v>
      </c>
      <c r="H56" s="18">
        <v>1188.4061417699693</v>
      </c>
      <c r="I56" s="18">
        <v>1153.8709122710618</v>
      </c>
      <c r="J56" s="18">
        <v>1059.2191935616879</v>
      </c>
      <c r="K56" s="18">
        <v>1280.7457539480758</v>
      </c>
      <c r="L56" s="18">
        <v>1318.8598326309188</v>
      </c>
      <c r="M56" s="18">
        <v>1561.4758851741667</v>
      </c>
      <c r="N56" s="18">
        <v>1814.9650734381873</v>
      </c>
      <c r="O56" s="18">
        <v>2193.4999315361065</v>
      </c>
      <c r="P56" s="18">
        <v>2332.1504043330442</v>
      </c>
      <c r="Q56" s="18">
        <v>2276.6953430913832</v>
      </c>
      <c r="R56" s="18">
        <v>2157.2815165322281</v>
      </c>
      <c r="S56" s="18">
        <v>2487.0868811444843</v>
      </c>
      <c r="T56" s="18">
        <v>2866.673492322539</v>
      </c>
      <c r="U56" s="18">
        <v>3039.2418984863421</v>
      </c>
      <c r="V56" s="18">
        <v>2825.0962235552925</v>
      </c>
      <c r="W56" s="18">
        <v>2230.101619068605</v>
      </c>
      <c r="X56" s="18">
        <v>2306.5113730465469</v>
      </c>
      <c r="Y56" s="18">
        <v>2068.825236861187</v>
      </c>
      <c r="Z56" s="18">
        <v>1738.0767314850805</v>
      </c>
      <c r="AA56" s="18">
        <v>2005.4165533789044</v>
      </c>
      <c r="AB56" s="18">
        <v>2223.8048980225299</v>
      </c>
      <c r="AC56" s="18">
        <v>2517.2464530652369</v>
      </c>
      <c r="AD56" s="19">
        <v>2581.5860977880693</v>
      </c>
      <c r="AE56" s="19">
        <v>3037.55541965156</v>
      </c>
      <c r="AF56" s="19">
        <v>3279.818737126448</v>
      </c>
      <c r="AG56" s="19">
        <v>3319.8133368366684</v>
      </c>
      <c r="AH56" s="18">
        <v>209.48435244866499</v>
      </c>
      <c r="AI56" s="31"/>
    </row>
    <row r="57" spans="2:35" x14ac:dyDescent="0.25">
      <c r="B57" s="26" t="s">
        <v>106</v>
      </c>
      <c r="C57" s="18">
        <v>56.775741143040001</v>
      </c>
      <c r="D57" s="18">
        <v>56.775741143040001</v>
      </c>
      <c r="E57" s="18">
        <v>107.04019102271999</v>
      </c>
      <c r="F57" s="18">
        <v>53.479520395199998</v>
      </c>
      <c r="G57" s="18">
        <v>170.61124924224001</v>
      </c>
      <c r="H57" s="18">
        <v>122.99381825184001</v>
      </c>
      <c r="I57" s="18">
        <v>369.38720591712001</v>
      </c>
      <c r="J57" s="18">
        <v>499.21691636160006</v>
      </c>
      <c r="K57" s="18">
        <v>477.36062461152</v>
      </c>
      <c r="L57" s="18">
        <v>499.54151729087994</v>
      </c>
      <c r="M57" s="18">
        <v>543.98445288191988</v>
      </c>
      <c r="N57" s="18">
        <v>477.84752600544005</v>
      </c>
      <c r="O57" s="18">
        <v>509.63305511520008</v>
      </c>
      <c r="P57" s="18">
        <v>455.01743146752005</v>
      </c>
      <c r="Q57" s="18">
        <v>540.24190585632005</v>
      </c>
      <c r="R57" s="18">
        <v>474.18612921215998</v>
      </c>
      <c r="S57" s="18">
        <v>330.24783978029058</v>
      </c>
      <c r="T57" s="18">
        <v>404.32331224569475</v>
      </c>
      <c r="U57" s="18">
        <v>356.9650783686053</v>
      </c>
      <c r="V57" s="18">
        <v>220.85671774622423</v>
      </c>
      <c r="W57" s="18">
        <v>303.61306175159865</v>
      </c>
      <c r="X57" s="18">
        <v>430.23801619185281</v>
      </c>
      <c r="Y57" s="18">
        <v>333.93219930916246</v>
      </c>
      <c r="Z57" s="18">
        <v>397.15457389653398</v>
      </c>
      <c r="AA57" s="18">
        <v>451.06161651754945</v>
      </c>
      <c r="AB57" s="18">
        <v>415.13115839438433</v>
      </c>
      <c r="AC57" s="18">
        <v>491.35145699182976</v>
      </c>
      <c r="AD57" s="19">
        <v>491.31586090814483</v>
      </c>
      <c r="AE57" s="19">
        <v>479.71284999396431</v>
      </c>
      <c r="AF57" s="19">
        <v>499.40117844374362</v>
      </c>
      <c r="AG57" s="19">
        <v>437.29809350627784</v>
      </c>
      <c r="AH57" s="18">
        <v>670.21996490465006</v>
      </c>
      <c r="AI57" s="31"/>
    </row>
    <row r="58" spans="2:35" x14ac:dyDescent="0.25">
      <c r="B58" s="27" t="s">
        <v>107</v>
      </c>
      <c r="C58" s="18" t="s">
        <v>65</v>
      </c>
      <c r="D58" s="18" t="s">
        <v>65</v>
      </c>
      <c r="E58" s="18" t="s">
        <v>65</v>
      </c>
      <c r="F58" s="18" t="s">
        <v>65</v>
      </c>
      <c r="G58" s="18" t="s">
        <v>65</v>
      </c>
      <c r="H58" s="18" t="s">
        <v>65</v>
      </c>
      <c r="I58" s="18" t="s">
        <v>65</v>
      </c>
      <c r="J58" s="18" t="s">
        <v>65</v>
      </c>
      <c r="K58" s="18" t="s">
        <v>65</v>
      </c>
      <c r="L58" s="18" t="s">
        <v>65</v>
      </c>
      <c r="M58" s="18" t="s">
        <v>65</v>
      </c>
      <c r="N58" s="18" t="s">
        <v>65</v>
      </c>
      <c r="O58" s="18" t="s">
        <v>65</v>
      </c>
      <c r="P58" s="18" t="s">
        <v>65</v>
      </c>
      <c r="Q58" s="18" t="s">
        <v>65</v>
      </c>
      <c r="R58" s="18" t="s">
        <v>65</v>
      </c>
      <c r="S58" s="18" t="s">
        <v>65</v>
      </c>
      <c r="T58" s="18" t="s">
        <v>65</v>
      </c>
      <c r="U58" s="18" t="s">
        <v>65</v>
      </c>
      <c r="V58" s="18" t="s">
        <v>65</v>
      </c>
      <c r="W58" s="18" t="s">
        <v>65</v>
      </c>
      <c r="X58" s="18" t="s">
        <v>65</v>
      </c>
      <c r="Y58" s="18" t="s">
        <v>65</v>
      </c>
      <c r="Z58" s="18" t="s">
        <v>65</v>
      </c>
      <c r="AA58" s="18" t="s">
        <v>65</v>
      </c>
      <c r="AB58" s="18" t="s">
        <v>65</v>
      </c>
      <c r="AC58" s="18" t="s">
        <v>65</v>
      </c>
      <c r="AD58" s="19" t="s">
        <v>65</v>
      </c>
      <c r="AE58" s="19" t="s">
        <v>65</v>
      </c>
      <c r="AF58" s="19" t="s">
        <v>65</v>
      </c>
      <c r="AG58" s="19" t="s">
        <v>65</v>
      </c>
      <c r="AH58" s="18">
        <v>0</v>
      </c>
      <c r="AI58" s="31"/>
    </row>
    <row r="59" spans="2:35" ht="13.5" x14ac:dyDescent="0.25">
      <c r="B59" s="24" t="s">
        <v>108</v>
      </c>
      <c r="C59" s="18">
        <v>500.81623446736006</v>
      </c>
      <c r="D59" s="18">
        <v>500.81623446736006</v>
      </c>
      <c r="E59" s="18">
        <v>479.5415601661241</v>
      </c>
      <c r="F59" s="18">
        <v>424.19216137916794</v>
      </c>
      <c r="G59" s="18">
        <v>429.19532585036796</v>
      </c>
      <c r="H59" s="18">
        <v>431.65749275750255</v>
      </c>
      <c r="I59" s="18">
        <v>424.65114598061791</v>
      </c>
      <c r="J59" s="18">
        <v>467.71403906204318</v>
      </c>
      <c r="K59" s="18">
        <v>493.25073962339485</v>
      </c>
      <c r="L59" s="18">
        <v>587.21785141110183</v>
      </c>
      <c r="M59" s="18">
        <v>557.21737707630268</v>
      </c>
      <c r="N59" s="18">
        <v>597.81958157125757</v>
      </c>
      <c r="O59" s="18">
        <v>654.24273906662916</v>
      </c>
      <c r="P59" s="18">
        <v>643.32260756248718</v>
      </c>
      <c r="Q59" s="18">
        <v>612.42267843451737</v>
      </c>
      <c r="R59" s="18">
        <v>715.32480321958292</v>
      </c>
      <c r="S59" s="18">
        <v>902.09990466538909</v>
      </c>
      <c r="T59" s="18">
        <v>930.38062379990538</v>
      </c>
      <c r="U59" s="18">
        <v>999.26875808436125</v>
      </c>
      <c r="V59" s="18">
        <v>1060.0373241018965</v>
      </c>
      <c r="W59" s="18">
        <v>1179.2389336875219</v>
      </c>
      <c r="X59" s="18">
        <v>1310.9046759816013</v>
      </c>
      <c r="Y59" s="18">
        <v>1323.4415324760137</v>
      </c>
      <c r="Z59" s="18">
        <v>1405.4636662899075</v>
      </c>
      <c r="AA59" s="18">
        <v>1611.7164986409803</v>
      </c>
      <c r="AB59" s="18">
        <v>1865.5995002081297</v>
      </c>
      <c r="AC59" s="18">
        <v>1852.2661511600015</v>
      </c>
      <c r="AD59" s="19">
        <v>2051.3235497400956</v>
      </c>
      <c r="AE59" s="19">
        <v>2344.2658011691547</v>
      </c>
      <c r="AF59" s="19">
        <v>2613.811335062398</v>
      </c>
      <c r="AG59" s="19">
        <v>2652.2600255174793</v>
      </c>
      <c r="AH59" s="18">
        <v>429.58747001048698</v>
      </c>
      <c r="AI59" s="31"/>
    </row>
    <row r="60" spans="2:35" ht="13.5" x14ac:dyDescent="0.25">
      <c r="B60" s="27" t="s">
        <v>109</v>
      </c>
      <c r="C60" s="18" t="s">
        <v>65</v>
      </c>
      <c r="D60" s="18" t="s">
        <v>65</v>
      </c>
      <c r="E60" s="18" t="s">
        <v>65</v>
      </c>
      <c r="F60" s="18" t="s">
        <v>65</v>
      </c>
      <c r="G60" s="18" t="s">
        <v>65</v>
      </c>
      <c r="H60" s="18" t="s">
        <v>65</v>
      </c>
      <c r="I60" s="18" t="s">
        <v>65</v>
      </c>
      <c r="J60" s="18" t="s">
        <v>65</v>
      </c>
      <c r="K60" s="18" t="s">
        <v>65</v>
      </c>
      <c r="L60" s="18" t="s">
        <v>65</v>
      </c>
      <c r="M60" s="18" t="s">
        <v>65</v>
      </c>
      <c r="N60" s="18" t="s">
        <v>65</v>
      </c>
      <c r="O60" s="18" t="s">
        <v>65</v>
      </c>
      <c r="P60" s="18" t="s">
        <v>65</v>
      </c>
      <c r="Q60" s="18" t="s">
        <v>65</v>
      </c>
      <c r="R60" s="18" t="s">
        <v>65</v>
      </c>
      <c r="S60" s="18" t="s">
        <v>69</v>
      </c>
      <c r="T60" s="18" t="s">
        <v>65</v>
      </c>
      <c r="U60" s="18" t="s">
        <v>65</v>
      </c>
      <c r="V60" s="18" t="s">
        <v>65</v>
      </c>
      <c r="W60" s="18" t="s">
        <v>65</v>
      </c>
      <c r="X60" s="18" t="s">
        <v>65</v>
      </c>
      <c r="Y60" s="18" t="s">
        <v>65</v>
      </c>
      <c r="Z60" s="18" t="s">
        <v>65</v>
      </c>
      <c r="AA60" s="18" t="s">
        <v>65</v>
      </c>
      <c r="AB60" s="18" t="s">
        <v>65</v>
      </c>
      <c r="AC60" s="18" t="s">
        <v>65</v>
      </c>
      <c r="AD60" s="19" t="s">
        <v>65</v>
      </c>
      <c r="AE60" s="19" t="s">
        <v>65</v>
      </c>
      <c r="AF60" s="19" t="s">
        <v>65</v>
      </c>
      <c r="AG60" s="19" t="s">
        <v>65</v>
      </c>
      <c r="AH60" s="18">
        <v>0</v>
      </c>
      <c r="AI60" s="31"/>
    </row>
    <row r="61" spans="2:35" x14ac:dyDescent="0.25">
      <c r="B61" s="27" t="s">
        <v>110</v>
      </c>
      <c r="C61" s="18" t="s">
        <v>111</v>
      </c>
      <c r="D61" s="18" t="s">
        <v>111</v>
      </c>
      <c r="E61" s="18" t="s">
        <v>111</v>
      </c>
      <c r="F61" s="18" t="s">
        <v>111</v>
      </c>
      <c r="G61" s="18" t="s">
        <v>111</v>
      </c>
      <c r="H61" s="18" t="s">
        <v>111</v>
      </c>
      <c r="I61" s="18" t="s">
        <v>111</v>
      </c>
      <c r="J61" s="18" t="s">
        <v>111</v>
      </c>
      <c r="K61" s="18" t="s">
        <v>111</v>
      </c>
      <c r="L61" s="18" t="s">
        <v>111</v>
      </c>
      <c r="M61" s="18" t="s">
        <v>111</v>
      </c>
      <c r="N61" s="18" t="s">
        <v>111</v>
      </c>
      <c r="O61" s="18" t="s">
        <v>111</v>
      </c>
      <c r="P61" s="18" t="s">
        <v>111</v>
      </c>
      <c r="Q61" s="18" t="s">
        <v>111</v>
      </c>
      <c r="R61" s="18" t="s">
        <v>111</v>
      </c>
      <c r="S61" s="18" t="s">
        <v>111</v>
      </c>
      <c r="T61" s="18" t="s">
        <v>111</v>
      </c>
      <c r="U61" s="18" t="s">
        <v>111</v>
      </c>
      <c r="V61" s="18" t="s">
        <v>111</v>
      </c>
      <c r="W61" s="18" t="s">
        <v>111</v>
      </c>
      <c r="X61" s="18" t="s">
        <v>111</v>
      </c>
      <c r="Y61" s="18" t="s">
        <v>111</v>
      </c>
      <c r="Z61" s="18" t="s">
        <v>111</v>
      </c>
      <c r="AA61" s="18" t="s">
        <v>111</v>
      </c>
      <c r="AB61" s="18" t="s">
        <v>111</v>
      </c>
      <c r="AC61" s="18" t="s">
        <v>111</v>
      </c>
      <c r="AD61" s="19" t="s">
        <v>111</v>
      </c>
      <c r="AE61" s="19" t="s">
        <v>111</v>
      </c>
      <c r="AF61" s="19" t="s">
        <v>111</v>
      </c>
      <c r="AG61" s="19" t="s">
        <v>111</v>
      </c>
      <c r="AH61" s="18">
        <v>0</v>
      </c>
      <c r="AI61" s="31"/>
    </row>
    <row r="62" spans="2:35" ht="12" customHeight="1" x14ac:dyDescent="0.25">
      <c r="B62" s="27" t="s">
        <v>112</v>
      </c>
      <c r="C62" s="25" t="s">
        <v>69</v>
      </c>
      <c r="D62" s="25" t="s">
        <v>69</v>
      </c>
      <c r="E62" s="25" t="s">
        <v>69</v>
      </c>
      <c r="F62" s="25" t="s">
        <v>69</v>
      </c>
      <c r="G62" s="25" t="s">
        <v>69</v>
      </c>
      <c r="H62" s="25" t="s">
        <v>69</v>
      </c>
      <c r="I62" s="25" t="s">
        <v>69</v>
      </c>
      <c r="J62" s="25" t="s">
        <v>69</v>
      </c>
      <c r="K62" s="25" t="s">
        <v>69</v>
      </c>
      <c r="L62" s="25" t="s">
        <v>69</v>
      </c>
      <c r="M62" s="25" t="s">
        <v>69</v>
      </c>
      <c r="N62" s="25" t="s">
        <v>69</v>
      </c>
      <c r="O62" s="25" t="s">
        <v>69</v>
      </c>
      <c r="P62" s="25" t="s">
        <v>69</v>
      </c>
      <c r="Q62" s="25" t="s">
        <v>69</v>
      </c>
      <c r="R62" s="25" t="s">
        <v>69</v>
      </c>
      <c r="S62" s="25" t="s">
        <v>69</v>
      </c>
      <c r="T62" s="25" t="s">
        <v>69</v>
      </c>
      <c r="U62" s="25" t="s">
        <v>69</v>
      </c>
      <c r="V62" s="25" t="s">
        <v>69</v>
      </c>
      <c r="W62" s="25" t="s">
        <v>69</v>
      </c>
      <c r="X62" s="25" t="s">
        <v>69</v>
      </c>
      <c r="Y62" s="25" t="s">
        <v>69</v>
      </c>
      <c r="Z62" s="25" t="s">
        <v>69</v>
      </c>
      <c r="AA62" s="25" t="s">
        <v>69</v>
      </c>
      <c r="AB62" s="25" t="s">
        <v>69</v>
      </c>
      <c r="AC62" s="25" t="s">
        <v>69</v>
      </c>
      <c r="AD62" s="25" t="s">
        <v>69</v>
      </c>
      <c r="AE62" s="25" t="s">
        <v>69</v>
      </c>
      <c r="AF62" s="25" t="s">
        <v>69</v>
      </c>
      <c r="AG62" s="25" t="s">
        <v>69</v>
      </c>
      <c r="AH62" s="25" t="s">
        <v>69</v>
      </c>
      <c r="AI62" s="5"/>
    </row>
    <row r="63" spans="2:35" ht="18.75" customHeight="1" x14ac:dyDescent="0.25">
      <c r="B63" s="27" t="s">
        <v>115</v>
      </c>
      <c r="C63" s="18" t="s">
        <v>116</v>
      </c>
      <c r="D63" s="18" t="s">
        <v>116</v>
      </c>
      <c r="E63" s="18" t="s">
        <v>116</v>
      </c>
      <c r="F63" s="18" t="s">
        <v>116</v>
      </c>
      <c r="G63" s="18" t="s">
        <v>116</v>
      </c>
      <c r="H63" s="18" t="s">
        <v>116</v>
      </c>
      <c r="I63" s="18" t="s">
        <v>116</v>
      </c>
      <c r="J63" s="18" t="s">
        <v>116</v>
      </c>
      <c r="K63" s="18" t="s">
        <v>116</v>
      </c>
      <c r="L63" s="18" t="s">
        <v>116</v>
      </c>
      <c r="M63" s="18" t="s">
        <v>116</v>
      </c>
      <c r="N63" s="18" t="s">
        <v>116</v>
      </c>
      <c r="O63" s="18" t="s">
        <v>116</v>
      </c>
      <c r="P63" s="18" t="s">
        <v>116</v>
      </c>
      <c r="Q63" s="18" t="s">
        <v>116</v>
      </c>
      <c r="R63" s="18" t="s">
        <v>116</v>
      </c>
      <c r="S63" s="18" t="s">
        <v>116</v>
      </c>
      <c r="T63" s="18" t="s">
        <v>116</v>
      </c>
      <c r="U63" s="18" t="s">
        <v>116</v>
      </c>
      <c r="V63" s="18" t="s">
        <v>116</v>
      </c>
      <c r="W63" s="18" t="s">
        <v>116</v>
      </c>
      <c r="X63" s="18" t="s">
        <v>116</v>
      </c>
      <c r="Y63" s="18" t="s">
        <v>116</v>
      </c>
      <c r="Z63" s="18" t="s">
        <v>116</v>
      </c>
      <c r="AA63" s="18" t="s">
        <v>116</v>
      </c>
      <c r="AB63" s="18" t="s">
        <v>116</v>
      </c>
      <c r="AC63" s="18" t="s">
        <v>116</v>
      </c>
      <c r="AD63" s="19" t="s">
        <v>116</v>
      </c>
      <c r="AE63" s="19" t="s">
        <v>116</v>
      </c>
      <c r="AF63" s="19" t="s">
        <v>116</v>
      </c>
      <c r="AG63" s="19" t="s">
        <v>116</v>
      </c>
      <c r="AH63" s="18">
        <v>0</v>
      </c>
      <c r="AI63" s="5"/>
    </row>
    <row r="64" spans="2:35" ht="13.5" x14ac:dyDescent="0.25">
      <c r="B64" s="28" t="s">
        <v>117</v>
      </c>
      <c r="C64" s="14">
        <v>32943.60363844176</v>
      </c>
      <c r="D64" s="14">
        <v>32943.60363844176</v>
      </c>
      <c r="E64" s="14">
        <v>33673.49439639716</v>
      </c>
      <c r="F64" s="14">
        <v>33494.498394831789</v>
      </c>
      <c r="G64" s="14">
        <v>33715.571485648332</v>
      </c>
      <c r="H64" s="14">
        <v>34837.654227246712</v>
      </c>
      <c r="I64" s="14">
        <v>35852.202662148069</v>
      </c>
      <c r="J64" s="14">
        <v>37468.512713817669</v>
      </c>
      <c r="K64" s="14">
        <v>38804.278996628193</v>
      </c>
      <c r="L64" s="14">
        <v>40708.288352058022</v>
      </c>
      <c r="M64" s="14">
        <v>42439.518319338997</v>
      </c>
      <c r="N64" s="14">
        <v>45248.508622670597</v>
      </c>
      <c r="O64" s="14">
        <v>47606.827382126554</v>
      </c>
      <c r="P64" s="14">
        <v>46080.800401874891</v>
      </c>
      <c r="Q64" s="14">
        <v>45683.184848822799</v>
      </c>
      <c r="R64" s="14">
        <v>46165.841122470752</v>
      </c>
      <c r="S64" s="14">
        <v>48155.797022874547</v>
      </c>
      <c r="T64" s="14">
        <v>47603.978825432525</v>
      </c>
      <c r="U64" s="14">
        <v>47663.726602156494</v>
      </c>
      <c r="V64" s="14">
        <v>47366.673677499894</v>
      </c>
      <c r="W64" s="14">
        <v>42180.319124497575</v>
      </c>
      <c r="X64" s="14">
        <v>41793.914554776813</v>
      </c>
      <c r="Y64" s="14">
        <v>38097.298624554125</v>
      </c>
      <c r="Z64" s="14">
        <v>38241.974900988564</v>
      </c>
      <c r="AA64" s="14">
        <v>37291.76322414622</v>
      </c>
      <c r="AB64" s="14">
        <v>36909.012023474788</v>
      </c>
      <c r="AC64" s="14">
        <v>38687.772214867851</v>
      </c>
      <c r="AD64" s="14">
        <v>40155.799101114433</v>
      </c>
      <c r="AE64" s="14">
        <v>39133.421109227143</v>
      </c>
      <c r="AF64" s="14">
        <v>39195.154828332859</v>
      </c>
      <c r="AG64" s="14">
        <v>37275.318574990517</v>
      </c>
      <c r="AH64" s="14">
        <v>13.148880080302</v>
      </c>
      <c r="AI64" s="5"/>
    </row>
    <row r="65" spans="2:35" ht="13.5" x14ac:dyDescent="0.25">
      <c r="B65" s="28" t="s">
        <v>118</v>
      </c>
      <c r="C65" s="14">
        <v>37469.310805821493</v>
      </c>
      <c r="D65" s="14">
        <v>37469.310805821493</v>
      </c>
      <c r="E65" s="14">
        <v>38049.511696342743</v>
      </c>
      <c r="F65" s="14">
        <v>37651.773704203923</v>
      </c>
      <c r="G65" s="14">
        <v>37707.468970094276</v>
      </c>
      <c r="H65" s="14">
        <v>38947.910495625671</v>
      </c>
      <c r="I65" s="14">
        <v>40891.430887772556</v>
      </c>
      <c r="J65" s="14">
        <v>42075.653752766113</v>
      </c>
      <c r="K65" s="14">
        <v>42785.40115190886</v>
      </c>
      <c r="L65" s="14">
        <v>44496.826771823842</v>
      </c>
      <c r="M65" s="14">
        <v>46374.753101692411</v>
      </c>
      <c r="N65" s="14">
        <v>50495.788390978261</v>
      </c>
      <c r="O65" s="14">
        <v>53883.393329541614</v>
      </c>
      <c r="P65" s="14">
        <v>52279.565260144191</v>
      </c>
      <c r="Q65" s="14">
        <v>51926.111140858004</v>
      </c>
      <c r="R65" s="14">
        <v>50899.171214530463</v>
      </c>
      <c r="S65" s="14">
        <v>53398.548838548311</v>
      </c>
      <c r="T65" s="14">
        <v>53282.370882650161</v>
      </c>
      <c r="U65" s="14">
        <v>52571.096582043938</v>
      </c>
      <c r="V65" s="14">
        <v>51494.391484696949</v>
      </c>
      <c r="W65" s="14">
        <v>46012.052672964324</v>
      </c>
      <c r="X65" s="14">
        <v>46876.724233999172</v>
      </c>
      <c r="Y65" s="14">
        <v>42680.574020599714</v>
      </c>
      <c r="Z65" s="14">
        <v>41924.032831889032</v>
      </c>
      <c r="AA65" s="14">
        <v>40983.935016526404</v>
      </c>
      <c r="AB65" s="14">
        <v>41770.126446085829</v>
      </c>
      <c r="AC65" s="14">
        <v>43401.05989699567</v>
      </c>
      <c r="AD65" s="14">
        <v>44332.836123796325</v>
      </c>
      <c r="AE65" s="14">
        <v>44481.784843404675</v>
      </c>
      <c r="AF65" s="14">
        <v>43115.510616557956</v>
      </c>
      <c r="AG65" s="14">
        <v>40895.041768875206</v>
      </c>
      <c r="AH65" s="14">
        <v>9.1427648103989991</v>
      </c>
      <c r="AI65" s="5"/>
    </row>
    <row r="66" spans="2:35" ht="13.5" x14ac:dyDescent="0.25">
      <c r="B66" s="28" t="s">
        <v>119</v>
      </c>
      <c r="C66" s="14" t="s">
        <v>120</v>
      </c>
      <c r="D66" s="14" t="s">
        <v>120</v>
      </c>
      <c r="E66" s="14" t="s">
        <v>120</v>
      </c>
      <c r="F66" s="14" t="s">
        <v>120</v>
      </c>
      <c r="G66" s="14" t="s">
        <v>120</v>
      </c>
      <c r="H66" s="14" t="s">
        <v>120</v>
      </c>
      <c r="I66" s="14" t="s">
        <v>120</v>
      </c>
      <c r="J66" s="14" t="s">
        <v>120</v>
      </c>
      <c r="K66" s="14" t="s">
        <v>120</v>
      </c>
      <c r="L66" s="14" t="s">
        <v>120</v>
      </c>
      <c r="M66" s="14" t="s">
        <v>120</v>
      </c>
      <c r="N66" s="14" t="s">
        <v>120</v>
      </c>
      <c r="O66" s="14" t="s">
        <v>120</v>
      </c>
      <c r="P66" s="14" t="s">
        <v>120</v>
      </c>
      <c r="Q66" s="14" t="s">
        <v>120</v>
      </c>
      <c r="R66" s="14" t="s">
        <v>120</v>
      </c>
      <c r="S66" s="14" t="s">
        <v>120</v>
      </c>
      <c r="T66" s="14" t="s">
        <v>120</v>
      </c>
      <c r="U66" s="14" t="s">
        <v>120</v>
      </c>
      <c r="V66" s="14" t="s">
        <v>120</v>
      </c>
      <c r="W66" s="14" t="s">
        <v>120</v>
      </c>
      <c r="X66" s="14" t="s">
        <v>120</v>
      </c>
      <c r="Y66" s="14" t="s">
        <v>120</v>
      </c>
      <c r="Z66" s="14" t="s">
        <v>120</v>
      </c>
      <c r="AA66" s="14" t="s">
        <v>120</v>
      </c>
      <c r="AB66" s="14" t="s">
        <v>120</v>
      </c>
      <c r="AC66" s="14" t="s">
        <v>120</v>
      </c>
      <c r="AD66" s="14" t="s">
        <v>120</v>
      </c>
      <c r="AE66" s="14" t="s">
        <v>120</v>
      </c>
      <c r="AF66" s="14" t="s">
        <v>120</v>
      </c>
      <c r="AG66" s="14" t="s">
        <v>120</v>
      </c>
      <c r="AH66" s="14">
        <v>0</v>
      </c>
      <c r="AI66" s="5"/>
    </row>
    <row r="67" spans="2:35" ht="13.5" x14ac:dyDescent="0.25">
      <c r="B67" s="28" t="s">
        <v>121</v>
      </c>
      <c r="C67" s="14" t="s">
        <v>120</v>
      </c>
      <c r="D67" s="14" t="s">
        <v>120</v>
      </c>
      <c r="E67" s="14" t="s">
        <v>120</v>
      </c>
      <c r="F67" s="14" t="s">
        <v>120</v>
      </c>
      <c r="G67" s="14" t="s">
        <v>120</v>
      </c>
      <c r="H67" s="14" t="s">
        <v>120</v>
      </c>
      <c r="I67" s="14" t="s">
        <v>120</v>
      </c>
      <c r="J67" s="14" t="s">
        <v>120</v>
      </c>
      <c r="K67" s="14" t="s">
        <v>120</v>
      </c>
      <c r="L67" s="14" t="s">
        <v>120</v>
      </c>
      <c r="M67" s="14" t="s">
        <v>120</v>
      </c>
      <c r="N67" s="14" t="s">
        <v>120</v>
      </c>
      <c r="O67" s="14" t="s">
        <v>120</v>
      </c>
      <c r="P67" s="14" t="s">
        <v>120</v>
      </c>
      <c r="Q67" s="14" t="s">
        <v>120</v>
      </c>
      <c r="R67" s="14" t="s">
        <v>120</v>
      </c>
      <c r="S67" s="14" t="s">
        <v>120</v>
      </c>
      <c r="T67" s="14" t="s">
        <v>120</v>
      </c>
      <c r="U67" s="14" t="s">
        <v>120</v>
      </c>
      <c r="V67" s="14" t="s">
        <v>120</v>
      </c>
      <c r="W67" s="14" t="s">
        <v>120</v>
      </c>
      <c r="X67" s="14" t="s">
        <v>120</v>
      </c>
      <c r="Y67" s="14" t="s">
        <v>120</v>
      </c>
      <c r="Z67" s="14" t="s">
        <v>120</v>
      </c>
      <c r="AA67" s="14" t="s">
        <v>120</v>
      </c>
      <c r="AB67" s="14" t="s">
        <v>120</v>
      </c>
      <c r="AC67" s="14" t="s">
        <v>120</v>
      </c>
      <c r="AD67" s="14" t="s">
        <v>120</v>
      </c>
      <c r="AE67" s="14" t="s">
        <v>120</v>
      </c>
      <c r="AF67" s="14" t="s">
        <v>120</v>
      </c>
      <c r="AG67" s="14" t="s">
        <v>120</v>
      </c>
      <c r="AH67" s="14">
        <v>0</v>
      </c>
      <c r="AI67" s="5"/>
    </row>
    <row r="68" spans="2:35" ht="12" customHeight="1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5"/>
    </row>
    <row r="69" spans="2:35" ht="12" customHeight="1" x14ac:dyDescent="0.25">
      <c r="B69" s="215" t="s">
        <v>123</v>
      </c>
      <c r="C69" s="21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2" spans="2:35" x14ac:dyDescent="0.25">
      <c r="B72" s="7" t="s">
        <v>200</v>
      </c>
      <c r="C72" s="7">
        <v>1</v>
      </c>
    </row>
    <row r="73" spans="2:35" ht="14" x14ac:dyDescent="0.25">
      <c r="B73" s="7" t="s">
        <v>1</v>
      </c>
      <c r="C73" s="60" t="s">
        <v>191</v>
      </c>
      <c r="D73" s="7">
        <v>1990</v>
      </c>
      <c r="E73" s="7">
        <f>D73+1</f>
        <v>1991</v>
      </c>
      <c r="F73" s="7">
        <f t="shared" ref="F73:AG73" si="0">E73+1</f>
        <v>1992</v>
      </c>
      <c r="G73" s="7">
        <f t="shared" si="0"/>
        <v>1993</v>
      </c>
      <c r="H73" s="7">
        <f t="shared" si="0"/>
        <v>1994</v>
      </c>
      <c r="I73" s="7">
        <f t="shared" si="0"/>
        <v>1995</v>
      </c>
      <c r="J73" s="7">
        <f t="shared" si="0"/>
        <v>1996</v>
      </c>
      <c r="K73" s="7">
        <f t="shared" si="0"/>
        <v>1997</v>
      </c>
      <c r="L73" s="7">
        <f t="shared" si="0"/>
        <v>1998</v>
      </c>
      <c r="M73" s="7">
        <f t="shared" si="0"/>
        <v>1999</v>
      </c>
      <c r="N73" s="7">
        <f t="shared" si="0"/>
        <v>2000</v>
      </c>
      <c r="O73" s="7">
        <f t="shared" si="0"/>
        <v>2001</v>
      </c>
      <c r="P73" s="7">
        <f t="shared" si="0"/>
        <v>2002</v>
      </c>
      <c r="Q73" s="7">
        <f t="shared" si="0"/>
        <v>2003</v>
      </c>
      <c r="R73" s="7">
        <f t="shared" si="0"/>
        <v>2004</v>
      </c>
      <c r="S73" s="7">
        <f t="shared" si="0"/>
        <v>2005</v>
      </c>
      <c r="T73" s="7">
        <f t="shared" si="0"/>
        <v>2006</v>
      </c>
      <c r="U73" s="7">
        <f t="shared" si="0"/>
        <v>2007</v>
      </c>
      <c r="V73" s="7">
        <f t="shared" si="0"/>
        <v>2008</v>
      </c>
      <c r="W73" s="7">
        <f t="shared" si="0"/>
        <v>2009</v>
      </c>
      <c r="X73" s="7">
        <f t="shared" si="0"/>
        <v>2010</v>
      </c>
      <c r="Y73" s="7">
        <f t="shared" si="0"/>
        <v>2011</v>
      </c>
      <c r="Z73" s="7">
        <f t="shared" si="0"/>
        <v>2012</v>
      </c>
      <c r="AA73" s="7">
        <f t="shared" si="0"/>
        <v>2013</v>
      </c>
      <c r="AB73" s="7">
        <f t="shared" si="0"/>
        <v>2014</v>
      </c>
      <c r="AC73" s="7">
        <f t="shared" si="0"/>
        <v>2015</v>
      </c>
      <c r="AD73" s="7">
        <f t="shared" si="0"/>
        <v>2016</v>
      </c>
      <c r="AE73" s="7">
        <f t="shared" si="0"/>
        <v>2017</v>
      </c>
      <c r="AF73" s="7">
        <f t="shared" si="0"/>
        <v>2018</v>
      </c>
      <c r="AG73" s="7">
        <f t="shared" si="0"/>
        <v>2019</v>
      </c>
    </row>
    <row r="74" spans="2:35" x14ac:dyDescent="0.25">
      <c r="B74" s="57" t="str">
        <f>B64</f>
        <v>Total CO2 equivalent emissions without land use, land-use change and forestry</v>
      </c>
      <c r="C74" s="57">
        <f t="shared" ref="C74:AG74" si="1">C64</f>
        <v>32943.60363844176</v>
      </c>
      <c r="D74" s="57">
        <f t="shared" si="1"/>
        <v>32943.60363844176</v>
      </c>
      <c r="E74" s="57">
        <f t="shared" si="1"/>
        <v>33673.49439639716</v>
      </c>
      <c r="F74" s="57">
        <f t="shared" si="1"/>
        <v>33494.498394831789</v>
      </c>
      <c r="G74" s="57">
        <f t="shared" si="1"/>
        <v>33715.571485648332</v>
      </c>
      <c r="H74" s="57">
        <f t="shared" si="1"/>
        <v>34837.654227246712</v>
      </c>
      <c r="I74" s="57">
        <f t="shared" si="1"/>
        <v>35852.202662148069</v>
      </c>
      <c r="J74" s="57">
        <f t="shared" si="1"/>
        <v>37468.512713817669</v>
      </c>
      <c r="K74" s="57">
        <f t="shared" si="1"/>
        <v>38804.278996628193</v>
      </c>
      <c r="L74" s="57">
        <f t="shared" si="1"/>
        <v>40708.288352058022</v>
      </c>
      <c r="M74" s="57">
        <f t="shared" si="1"/>
        <v>42439.518319338997</v>
      </c>
      <c r="N74" s="57">
        <f t="shared" si="1"/>
        <v>45248.508622670597</v>
      </c>
      <c r="O74" s="57">
        <f t="shared" si="1"/>
        <v>47606.827382126554</v>
      </c>
      <c r="P74" s="57">
        <f t="shared" si="1"/>
        <v>46080.800401874891</v>
      </c>
      <c r="Q74" s="57">
        <f t="shared" si="1"/>
        <v>45683.184848822799</v>
      </c>
      <c r="R74" s="57">
        <f t="shared" si="1"/>
        <v>46165.841122470752</v>
      </c>
      <c r="S74" s="57">
        <f t="shared" si="1"/>
        <v>48155.797022874547</v>
      </c>
      <c r="T74" s="57">
        <f t="shared" si="1"/>
        <v>47603.978825432525</v>
      </c>
      <c r="U74" s="57">
        <f t="shared" si="1"/>
        <v>47663.726602156494</v>
      </c>
      <c r="V74" s="57">
        <f t="shared" si="1"/>
        <v>47366.673677499894</v>
      </c>
      <c r="W74" s="57">
        <f t="shared" si="1"/>
        <v>42180.319124497575</v>
      </c>
      <c r="X74" s="57">
        <f t="shared" si="1"/>
        <v>41793.914554776813</v>
      </c>
      <c r="Y74" s="57">
        <f t="shared" si="1"/>
        <v>38097.298624554125</v>
      </c>
      <c r="Z74" s="57">
        <f t="shared" si="1"/>
        <v>38241.974900988564</v>
      </c>
      <c r="AA74" s="57">
        <f t="shared" si="1"/>
        <v>37291.76322414622</v>
      </c>
      <c r="AB74" s="57">
        <f t="shared" si="1"/>
        <v>36909.012023474788</v>
      </c>
      <c r="AC74" s="57">
        <f t="shared" si="1"/>
        <v>38687.772214867851</v>
      </c>
      <c r="AD74" s="57">
        <f t="shared" si="1"/>
        <v>40155.799101114433</v>
      </c>
      <c r="AE74" s="57">
        <f t="shared" si="1"/>
        <v>39133.421109227143</v>
      </c>
      <c r="AF74" s="57">
        <f t="shared" si="1"/>
        <v>39195.154828332859</v>
      </c>
      <c r="AG74" s="57">
        <f t="shared" si="1"/>
        <v>37275.318574990517</v>
      </c>
    </row>
    <row r="75" spans="2:35" x14ac:dyDescent="0.25">
      <c r="B75" s="57" t="str">
        <f>B65</f>
        <v>Total CO2 equivalent emissions with land use, land-use change and forestry</v>
      </c>
      <c r="C75" s="57">
        <f t="shared" ref="C75:AG75" si="2">C65</f>
        <v>37469.310805821493</v>
      </c>
      <c r="D75" s="57">
        <f t="shared" si="2"/>
        <v>37469.310805821493</v>
      </c>
      <c r="E75" s="57">
        <f t="shared" si="2"/>
        <v>38049.511696342743</v>
      </c>
      <c r="F75" s="57">
        <f t="shared" si="2"/>
        <v>37651.773704203923</v>
      </c>
      <c r="G75" s="57">
        <f t="shared" si="2"/>
        <v>37707.468970094276</v>
      </c>
      <c r="H75" s="57">
        <f t="shared" si="2"/>
        <v>38947.910495625671</v>
      </c>
      <c r="I75" s="57">
        <f t="shared" si="2"/>
        <v>40891.430887772556</v>
      </c>
      <c r="J75" s="57">
        <f t="shared" si="2"/>
        <v>42075.653752766113</v>
      </c>
      <c r="K75" s="57">
        <f t="shared" si="2"/>
        <v>42785.40115190886</v>
      </c>
      <c r="L75" s="57">
        <f t="shared" si="2"/>
        <v>44496.826771823842</v>
      </c>
      <c r="M75" s="57">
        <f t="shared" si="2"/>
        <v>46374.753101692411</v>
      </c>
      <c r="N75" s="57">
        <f t="shared" si="2"/>
        <v>50495.788390978261</v>
      </c>
      <c r="O75" s="57">
        <f t="shared" si="2"/>
        <v>53883.393329541614</v>
      </c>
      <c r="P75" s="57">
        <f t="shared" si="2"/>
        <v>52279.565260144191</v>
      </c>
      <c r="Q75" s="57">
        <f t="shared" si="2"/>
        <v>51926.111140858004</v>
      </c>
      <c r="R75" s="57">
        <f t="shared" si="2"/>
        <v>50899.171214530463</v>
      </c>
      <c r="S75" s="57">
        <f t="shared" si="2"/>
        <v>53398.548838548311</v>
      </c>
      <c r="T75" s="57">
        <f t="shared" si="2"/>
        <v>53282.370882650161</v>
      </c>
      <c r="U75" s="57">
        <f t="shared" si="2"/>
        <v>52571.096582043938</v>
      </c>
      <c r="V75" s="57">
        <f t="shared" si="2"/>
        <v>51494.391484696949</v>
      </c>
      <c r="W75" s="57">
        <f t="shared" si="2"/>
        <v>46012.052672964324</v>
      </c>
      <c r="X75" s="57">
        <f t="shared" si="2"/>
        <v>46876.724233999172</v>
      </c>
      <c r="Y75" s="57">
        <f t="shared" si="2"/>
        <v>42680.574020599714</v>
      </c>
      <c r="Z75" s="57">
        <f t="shared" si="2"/>
        <v>41924.032831889032</v>
      </c>
      <c r="AA75" s="57">
        <f t="shared" si="2"/>
        <v>40983.935016526404</v>
      </c>
      <c r="AB75" s="57">
        <f t="shared" si="2"/>
        <v>41770.126446085829</v>
      </c>
      <c r="AC75" s="57">
        <f t="shared" si="2"/>
        <v>43401.05989699567</v>
      </c>
      <c r="AD75" s="57">
        <f t="shared" si="2"/>
        <v>44332.836123796325</v>
      </c>
      <c r="AE75" s="57">
        <f t="shared" si="2"/>
        <v>44481.784843404675</v>
      </c>
      <c r="AF75" s="57">
        <f t="shared" si="2"/>
        <v>43115.510616557956</v>
      </c>
      <c r="AG75" s="57">
        <f t="shared" si="2"/>
        <v>40895.041768875206</v>
      </c>
    </row>
    <row r="76" spans="2:35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</row>
    <row r="77" spans="2:35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2:35" x14ac:dyDescent="0.25">
      <c r="C78" s="7" t="s">
        <v>1</v>
      </c>
    </row>
    <row r="79" spans="2:35" ht="46" x14ac:dyDescent="0.25">
      <c r="C79" s="7" t="s">
        <v>194</v>
      </c>
      <c r="D79" s="61" t="s">
        <v>242</v>
      </c>
      <c r="E79" s="61" t="s">
        <v>243</v>
      </c>
      <c r="F79" s="7" t="s">
        <v>241</v>
      </c>
      <c r="G79" s="61" t="s">
        <v>192</v>
      </c>
      <c r="H79" s="61" t="s">
        <v>193</v>
      </c>
      <c r="J79" s="7" t="s">
        <v>317</v>
      </c>
    </row>
    <row r="80" spans="2:35" x14ac:dyDescent="0.25">
      <c r="C80" s="66">
        <v>1990</v>
      </c>
      <c r="D80" s="62">
        <f>G80</f>
        <v>32943.60363844176</v>
      </c>
      <c r="E80" s="62">
        <f>F80+H80</f>
        <v>37503.901917692638</v>
      </c>
      <c r="F80" s="62">
        <f>'Other GHG 1990-2019'!H60</f>
        <v>34.591111871144001</v>
      </c>
      <c r="G80" s="62">
        <v>32943.60363844176</v>
      </c>
      <c r="H80" s="62">
        <v>37469.310805821493</v>
      </c>
      <c r="J80" s="62">
        <f>H80-G80</f>
        <v>4525.7071673797327</v>
      </c>
    </row>
    <row r="81" spans="3:10" x14ac:dyDescent="0.25">
      <c r="C81" s="66">
        <v>1991</v>
      </c>
      <c r="D81" s="62">
        <f t="shared" ref="D81:D109" si="3">G81</f>
        <v>33673.49439639716</v>
      </c>
      <c r="E81" s="62">
        <f>F81+H81</f>
        <v>38099.012193795097</v>
      </c>
      <c r="F81" s="62">
        <f>'Other GHG 1990-2019'!H61</f>
        <v>49.500497452352</v>
      </c>
      <c r="G81" s="62">
        <v>33673.49439639716</v>
      </c>
      <c r="H81" s="62">
        <v>38049.511696342743</v>
      </c>
      <c r="J81" s="62">
        <f t="shared" ref="J81:J109" si="4">H81-G81</f>
        <v>4376.0172999455826</v>
      </c>
    </row>
    <row r="82" spans="3:10" x14ac:dyDescent="0.25">
      <c r="C82" s="66">
        <v>1992</v>
      </c>
      <c r="D82" s="62">
        <f t="shared" si="3"/>
        <v>33494.498394831789</v>
      </c>
      <c r="E82" s="62">
        <f t="shared" ref="E82:E107" si="5">F82+H82</f>
        <v>37716.18340165187</v>
      </c>
      <c r="F82" s="62">
        <f>'Other GHG 1990-2019'!H62</f>
        <v>64.409697447944012</v>
      </c>
      <c r="G82" s="62">
        <v>33494.498394831789</v>
      </c>
      <c r="H82" s="62">
        <v>37651.773704203923</v>
      </c>
      <c r="J82" s="62">
        <f t="shared" si="4"/>
        <v>4157.2753093721331</v>
      </c>
    </row>
    <row r="83" spans="3:10" x14ac:dyDescent="0.25">
      <c r="C83" s="66">
        <v>1993</v>
      </c>
      <c r="D83" s="62">
        <f t="shared" si="3"/>
        <v>33715.571485648332</v>
      </c>
      <c r="E83" s="62">
        <f t="shared" si="5"/>
        <v>37813.894147276056</v>
      </c>
      <c r="F83" s="62">
        <f>'Other GHG 1990-2019'!H63</f>
        <v>106.42517718178189</v>
      </c>
      <c r="G83" s="62">
        <v>33715.571485648332</v>
      </c>
      <c r="H83" s="62">
        <v>37707.468970094276</v>
      </c>
      <c r="J83" s="62">
        <f t="shared" si="4"/>
        <v>3991.8974844459444</v>
      </c>
    </row>
    <row r="84" spans="3:10" x14ac:dyDescent="0.25">
      <c r="C84" s="66">
        <v>1994</v>
      </c>
      <c r="D84" s="62">
        <f t="shared" si="3"/>
        <v>34837.654227246712</v>
      </c>
      <c r="E84" s="62">
        <f t="shared" si="5"/>
        <v>39097.461645272393</v>
      </c>
      <c r="F84" s="62">
        <f>'Other GHG 1990-2019'!H64</f>
        <v>149.55114964672029</v>
      </c>
      <c r="G84" s="62">
        <v>34837.654227246712</v>
      </c>
      <c r="H84" s="62">
        <v>38947.910495625671</v>
      </c>
      <c r="J84" s="62">
        <f t="shared" si="4"/>
        <v>4110.2562683789583</v>
      </c>
    </row>
    <row r="85" spans="3:10" x14ac:dyDescent="0.25">
      <c r="C85" s="66">
        <v>1995</v>
      </c>
      <c r="D85" s="62">
        <f t="shared" si="3"/>
        <v>35852.202662148069</v>
      </c>
      <c r="E85" s="62">
        <f t="shared" si="5"/>
        <v>41117.756580617206</v>
      </c>
      <c r="F85" s="62">
        <f>'Other GHG 1990-2019'!H65</f>
        <v>226.32569284465148</v>
      </c>
      <c r="G85" s="62">
        <v>35852.202662148069</v>
      </c>
      <c r="H85" s="62">
        <v>40891.430887772556</v>
      </c>
      <c r="J85" s="62">
        <f t="shared" si="4"/>
        <v>5039.2282256244871</v>
      </c>
    </row>
    <row r="86" spans="3:10" x14ac:dyDescent="0.25">
      <c r="C86" s="66">
        <v>1996</v>
      </c>
      <c r="D86" s="62">
        <f t="shared" si="3"/>
        <v>37468.512713817669</v>
      </c>
      <c r="E86" s="62">
        <f t="shared" si="5"/>
        <v>42401.848154429681</v>
      </c>
      <c r="F86" s="62">
        <f>'Other GHG 1990-2019'!H66</f>
        <v>326.19440166357015</v>
      </c>
      <c r="G86" s="62">
        <v>37468.512713817669</v>
      </c>
      <c r="H86" s="62">
        <v>42075.653752766113</v>
      </c>
      <c r="J86" s="62">
        <f t="shared" si="4"/>
        <v>4607.1410389484445</v>
      </c>
    </row>
    <row r="87" spans="3:10" x14ac:dyDescent="0.25">
      <c r="C87" s="66">
        <v>1997</v>
      </c>
      <c r="D87" s="62">
        <f t="shared" si="3"/>
        <v>38804.278996628193</v>
      </c>
      <c r="E87" s="62">
        <f t="shared" si="5"/>
        <v>43245.116683187582</v>
      </c>
      <c r="F87" s="62">
        <f>'Other GHG 1990-2019'!H67</f>
        <v>459.71553127872153</v>
      </c>
      <c r="G87" s="62">
        <v>38804.278996628193</v>
      </c>
      <c r="H87" s="62">
        <v>42785.40115190886</v>
      </c>
      <c r="J87" s="62">
        <f t="shared" si="4"/>
        <v>3981.1221552806674</v>
      </c>
    </row>
    <row r="88" spans="3:10" x14ac:dyDescent="0.25">
      <c r="C88" s="66">
        <v>1998</v>
      </c>
      <c r="D88" s="62">
        <f t="shared" si="3"/>
        <v>40708.288352058022</v>
      </c>
      <c r="E88" s="62">
        <f t="shared" si="5"/>
        <v>44870.123696327122</v>
      </c>
      <c r="F88" s="62">
        <f>'Other GHG 1990-2019'!H68</f>
        <v>373.29692450328292</v>
      </c>
      <c r="G88" s="62">
        <v>40708.288352058022</v>
      </c>
      <c r="H88" s="62">
        <v>44496.826771823842</v>
      </c>
      <c r="J88" s="62">
        <f t="shared" si="4"/>
        <v>3788.5384197658204</v>
      </c>
    </row>
    <row r="89" spans="3:10" x14ac:dyDescent="0.25">
      <c r="C89" s="66">
        <v>1999</v>
      </c>
      <c r="D89" s="62">
        <f t="shared" si="3"/>
        <v>42439.518319338997</v>
      </c>
      <c r="E89" s="62">
        <f t="shared" si="5"/>
        <v>46906.820617827238</v>
      </c>
      <c r="F89" s="62">
        <f>'Other GHG 1990-2019'!H69</f>
        <v>532.06751613482925</v>
      </c>
      <c r="G89" s="62">
        <v>42439.518319338997</v>
      </c>
      <c r="H89" s="62">
        <v>46374.753101692411</v>
      </c>
      <c r="J89" s="62">
        <f t="shared" si="4"/>
        <v>3935.2347823534146</v>
      </c>
    </row>
    <row r="90" spans="3:10" x14ac:dyDescent="0.25">
      <c r="C90" s="66">
        <v>2000</v>
      </c>
      <c r="D90" s="62">
        <f t="shared" si="3"/>
        <v>45248.508622670597</v>
      </c>
      <c r="E90" s="62">
        <f t="shared" si="5"/>
        <v>51264.446064409647</v>
      </c>
      <c r="F90" s="62">
        <f>'Other GHG 1990-2019'!H70</f>
        <v>768.65767343138577</v>
      </c>
      <c r="G90" s="62">
        <v>45248.508622670597</v>
      </c>
      <c r="H90" s="62">
        <v>50495.788390978261</v>
      </c>
      <c r="J90" s="62">
        <f t="shared" si="4"/>
        <v>5247.2797683076642</v>
      </c>
    </row>
    <row r="91" spans="3:10" x14ac:dyDescent="0.25">
      <c r="C91" s="66">
        <v>2001</v>
      </c>
      <c r="D91" s="62">
        <f t="shared" si="3"/>
        <v>47606.827382126554</v>
      </c>
      <c r="E91" s="62">
        <f t="shared" si="5"/>
        <v>54663.990010623849</v>
      </c>
      <c r="F91" s="62">
        <f>'Other GHG 1990-2019'!H71</f>
        <v>780.59668108223207</v>
      </c>
      <c r="G91" s="62">
        <v>47606.827382126554</v>
      </c>
      <c r="H91" s="62">
        <v>53883.393329541614</v>
      </c>
      <c r="J91" s="62">
        <f t="shared" si="4"/>
        <v>6276.5659474150598</v>
      </c>
    </row>
    <row r="92" spans="3:10" x14ac:dyDescent="0.25">
      <c r="C92" s="66">
        <v>2002</v>
      </c>
      <c r="D92" s="62">
        <f t="shared" si="3"/>
        <v>46080.800401874891</v>
      </c>
      <c r="E92" s="62">
        <f t="shared" si="5"/>
        <v>53050.683185293026</v>
      </c>
      <c r="F92" s="62">
        <f>'Other GHG 1990-2019'!H72</f>
        <v>771.11792514883575</v>
      </c>
      <c r="G92" s="62">
        <v>46080.800401874891</v>
      </c>
      <c r="H92" s="62">
        <v>52279.565260144191</v>
      </c>
      <c r="J92" s="62">
        <f t="shared" si="4"/>
        <v>6198.7648582693</v>
      </c>
    </row>
    <row r="93" spans="3:10" x14ac:dyDescent="0.25">
      <c r="C93" s="66">
        <v>2003</v>
      </c>
      <c r="D93" s="62">
        <f t="shared" si="3"/>
        <v>45683.184848822799</v>
      </c>
      <c r="E93" s="62">
        <f t="shared" si="5"/>
        <v>52911.204011821268</v>
      </c>
      <c r="F93" s="62">
        <f>'Other GHG 1990-2019'!H73</f>
        <v>985.09287096326318</v>
      </c>
      <c r="G93" s="62">
        <v>45683.184848822799</v>
      </c>
      <c r="H93" s="62">
        <v>51926.111140858004</v>
      </c>
      <c r="J93" s="62">
        <f t="shared" si="4"/>
        <v>6242.9262920352048</v>
      </c>
    </row>
    <row r="94" spans="3:10" x14ac:dyDescent="0.25">
      <c r="C94" s="66">
        <v>2004</v>
      </c>
      <c r="D94" s="62">
        <f t="shared" si="3"/>
        <v>46165.841122470752</v>
      </c>
      <c r="E94" s="62">
        <f t="shared" si="5"/>
        <v>51897.755100973896</v>
      </c>
      <c r="F94" s="62">
        <f>'Other GHG 1990-2019'!H74</f>
        <v>998.58388644343574</v>
      </c>
      <c r="G94" s="62">
        <v>46165.841122470752</v>
      </c>
      <c r="H94" s="62">
        <v>50899.171214530463</v>
      </c>
      <c r="J94" s="62">
        <f t="shared" si="4"/>
        <v>4733.3300920597103</v>
      </c>
    </row>
    <row r="95" spans="3:10" x14ac:dyDescent="0.25">
      <c r="C95" s="66">
        <v>2005</v>
      </c>
      <c r="D95" s="62">
        <f t="shared" si="3"/>
        <v>48155.797022874547</v>
      </c>
      <c r="E95" s="62">
        <f t="shared" si="5"/>
        <v>54595.608706100844</v>
      </c>
      <c r="F95" s="62">
        <f>'Other GHG 1990-2019'!H75</f>
        <v>1197.0598675525353</v>
      </c>
      <c r="G95" s="62">
        <v>48155.797022874547</v>
      </c>
      <c r="H95" s="62">
        <v>53398.548838548311</v>
      </c>
      <c r="J95" s="62">
        <f t="shared" si="4"/>
        <v>5242.7518156737642</v>
      </c>
    </row>
    <row r="96" spans="3:10" x14ac:dyDescent="0.25">
      <c r="C96" s="66">
        <v>2006</v>
      </c>
      <c r="D96" s="62">
        <f t="shared" si="3"/>
        <v>47603.978825432525</v>
      </c>
      <c r="E96" s="62">
        <f t="shared" si="5"/>
        <v>54461.539202046144</v>
      </c>
      <c r="F96" s="62">
        <f>'Other GHG 1990-2019'!H76</f>
        <v>1179.1683193959805</v>
      </c>
      <c r="G96" s="62">
        <v>47603.978825432525</v>
      </c>
      <c r="H96" s="62">
        <v>53282.370882650161</v>
      </c>
      <c r="J96" s="62">
        <f t="shared" si="4"/>
        <v>5678.3920572176357</v>
      </c>
    </row>
    <row r="97" spans="2:19" x14ac:dyDescent="0.25">
      <c r="C97" s="66">
        <v>2007</v>
      </c>
      <c r="D97" s="62">
        <f t="shared" si="3"/>
        <v>47663.726602156494</v>
      </c>
      <c r="E97" s="62">
        <f t="shared" si="5"/>
        <v>53746.045769965305</v>
      </c>
      <c r="F97" s="62">
        <f>'Other GHG 1990-2019'!H77</f>
        <v>1174.9491879213688</v>
      </c>
      <c r="G97" s="62">
        <v>47663.726602156494</v>
      </c>
      <c r="H97" s="62">
        <v>52571.096582043938</v>
      </c>
      <c r="J97" s="62">
        <f t="shared" si="4"/>
        <v>4907.3699798874441</v>
      </c>
    </row>
    <row r="98" spans="2:19" x14ac:dyDescent="0.25">
      <c r="C98" s="66">
        <v>2008</v>
      </c>
      <c r="D98" s="62">
        <f t="shared" si="3"/>
        <v>47366.673677499894</v>
      </c>
      <c r="E98" s="62">
        <f t="shared" si="5"/>
        <v>52681.581701576812</v>
      </c>
      <c r="F98" s="62">
        <f>'Other GHG 1990-2019'!H78</f>
        <v>1187.1902168798613</v>
      </c>
      <c r="G98" s="62">
        <v>47366.673677499894</v>
      </c>
      <c r="H98" s="62">
        <v>51494.391484696949</v>
      </c>
      <c r="J98" s="62">
        <f t="shared" si="4"/>
        <v>4127.7178071970557</v>
      </c>
    </row>
    <row r="99" spans="2:19" x14ac:dyDescent="0.25">
      <c r="C99" s="66">
        <v>2009</v>
      </c>
      <c r="D99" s="62">
        <f t="shared" si="3"/>
        <v>42180.319124497575</v>
      </c>
      <c r="E99" s="62">
        <f t="shared" si="5"/>
        <v>47163.320009204181</v>
      </c>
      <c r="F99" s="62">
        <f>'Other GHG 1990-2019'!H79</f>
        <v>1151.2673362398546</v>
      </c>
      <c r="G99" s="62">
        <v>42180.319124497575</v>
      </c>
      <c r="H99" s="62">
        <v>46012.052672964324</v>
      </c>
      <c r="J99" s="62">
        <f t="shared" si="4"/>
        <v>3831.7335484667492</v>
      </c>
    </row>
    <row r="100" spans="2:19" x14ac:dyDescent="0.25">
      <c r="C100" s="66">
        <v>2010</v>
      </c>
      <c r="D100" s="62">
        <f t="shared" si="3"/>
        <v>41793.914554776813</v>
      </c>
      <c r="E100" s="62">
        <f t="shared" si="5"/>
        <v>48004.538579802291</v>
      </c>
      <c r="F100" s="62">
        <f>'Other GHG 1990-2019'!H80</f>
        <v>1127.8143458031184</v>
      </c>
      <c r="G100" s="62">
        <v>41793.914554776813</v>
      </c>
      <c r="H100" s="62">
        <v>46876.724233999172</v>
      </c>
      <c r="J100" s="62">
        <f t="shared" si="4"/>
        <v>5082.8096792223587</v>
      </c>
    </row>
    <row r="101" spans="2:19" x14ac:dyDescent="0.25">
      <c r="C101" s="66">
        <v>2011</v>
      </c>
      <c r="D101" s="62">
        <f t="shared" si="3"/>
        <v>38097.298624554125</v>
      </c>
      <c r="E101" s="62">
        <f t="shared" si="5"/>
        <v>43826.202337012073</v>
      </c>
      <c r="F101" s="62">
        <f>'Other GHG 1990-2019'!H81</f>
        <v>1145.6283164123583</v>
      </c>
      <c r="G101" s="62">
        <v>38097.298624554125</v>
      </c>
      <c r="H101" s="62">
        <v>42680.574020599714</v>
      </c>
      <c r="J101" s="62">
        <f t="shared" si="4"/>
        <v>4583.2753960455884</v>
      </c>
    </row>
    <row r="102" spans="2:19" x14ac:dyDescent="0.25">
      <c r="C102" s="66">
        <v>2012</v>
      </c>
      <c r="D102" s="62">
        <f t="shared" si="3"/>
        <v>38241.974900988564</v>
      </c>
      <c r="E102" s="62">
        <f t="shared" si="5"/>
        <v>43046.736237018362</v>
      </c>
      <c r="F102" s="62">
        <f>'Other GHG 1990-2019'!H82</f>
        <v>1122.7034051293324</v>
      </c>
      <c r="G102" s="62">
        <v>38241.974900988564</v>
      </c>
      <c r="H102" s="62">
        <v>41924.032831889032</v>
      </c>
      <c r="J102" s="62">
        <f t="shared" si="4"/>
        <v>3682.0579309004679</v>
      </c>
    </row>
    <row r="103" spans="2:19" x14ac:dyDescent="0.25">
      <c r="C103" s="66">
        <v>2013</v>
      </c>
      <c r="D103" s="62">
        <f t="shared" si="3"/>
        <v>37291.76322414622</v>
      </c>
      <c r="E103" s="62">
        <f t="shared" si="5"/>
        <v>42143.034779693044</v>
      </c>
      <c r="F103" s="62">
        <f>'Other GHG 1990-2019'!H83</f>
        <v>1159.099763166636</v>
      </c>
      <c r="G103" s="62">
        <v>37291.76322414622</v>
      </c>
      <c r="H103" s="62">
        <v>40983.935016526404</v>
      </c>
      <c r="J103" s="62">
        <f t="shared" si="4"/>
        <v>3692.1717923801843</v>
      </c>
    </row>
    <row r="104" spans="2:19" x14ac:dyDescent="0.25">
      <c r="C104" s="66">
        <v>2014</v>
      </c>
      <c r="D104" s="62">
        <f t="shared" si="3"/>
        <v>36909.012023474788</v>
      </c>
      <c r="E104" s="62">
        <f t="shared" si="5"/>
        <v>43002.058721298985</v>
      </c>
      <c r="F104" s="62">
        <f>'Other GHG 1990-2019'!H84</f>
        <v>1231.9322752131577</v>
      </c>
      <c r="G104" s="62">
        <v>36909.012023474788</v>
      </c>
      <c r="H104" s="62">
        <v>41770.126446085829</v>
      </c>
      <c r="J104" s="62">
        <f t="shared" si="4"/>
        <v>4861.1144226110409</v>
      </c>
    </row>
    <row r="105" spans="2:19" x14ac:dyDescent="0.25">
      <c r="C105" s="66">
        <v>2015</v>
      </c>
      <c r="D105" s="62">
        <f t="shared" si="3"/>
        <v>38687.772214867851</v>
      </c>
      <c r="E105" s="62">
        <f t="shared" si="5"/>
        <v>44636.500221951239</v>
      </c>
      <c r="F105" s="62">
        <f>'Other GHG 1990-2019'!H85</f>
        <v>1235.4403249555714</v>
      </c>
      <c r="G105" s="62">
        <v>38687.772214867851</v>
      </c>
      <c r="H105" s="62">
        <v>43401.05989699567</v>
      </c>
      <c r="J105" s="62">
        <f t="shared" si="4"/>
        <v>4713.2876821278187</v>
      </c>
    </row>
    <row r="106" spans="2:19" x14ac:dyDescent="0.25">
      <c r="C106" s="66">
        <v>2016</v>
      </c>
      <c r="D106" s="62">
        <f t="shared" si="3"/>
        <v>40155.799101114433</v>
      </c>
      <c r="E106" s="62">
        <f t="shared" si="5"/>
        <v>45653.374656401349</v>
      </c>
      <c r="F106" s="62">
        <f>'Other GHG 1990-2019'!H86</f>
        <v>1320.5385326050266</v>
      </c>
      <c r="G106" s="62">
        <v>40155.799101114433</v>
      </c>
      <c r="H106" s="62">
        <v>44332.836123796325</v>
      </c>
      <c r="J106" s="62">
        <f t="shared" si="4"/>
        <v>4177.0370226818923</v>
      </c>
      <c r="P106" s="7" t="s">
        <v>7</v>
      </c>
      <c r="Q106" s="7">
        <v>28</v>
      </c>
      <c r="R106" s="7">
        <v>265</v>
      </c>
    </row>
    <row r="107" spans="2:19" x14ac:dyDescent="0.25">
      <c r="C107" s="66">
        <v>2017</v>
      </c>
      <c r="D107" s="62">
        <f t="shared" si="3"/>
        <v>39133.421109227143</v>
      </c>
      <c r="E107" s="62">
        <f t="shared" si="5"/>
        <v>45728.105317317953</v>
      </c>
      <c r="F107" s="62">
        <f>'Other GHG 1990-2019'!H87</f>
        <v>1246.3204739132752</v>
      </c>
      <c r="G107" s="62">
        <v>39133.421109227143</v>
      </c>
      <c r="H107" s="62">
        <v>44481.784843404675</v>
      </c>
      <c r="J107" s="62">
        <f t="shared" si="4"/>
        <v>5348.363734177532</v>
      </c>
      <c r="L107" s="7" t="s">
        <v>1</v>
      </c>
      <c r="M107" s="7" t="s">
        <v>2</v>
      </c>
      <c r="N107" s="7" t="s">
        <v>3</v>
      </c>
      <c r="O107" s="7" t="s">
        <v>4</v>
      </c>
      <c r="P107" s="7" t="str">
        <f>M107</f>
        <v>CO2</v>
      </c>
      <c r="Q107" s="7" t="str">
        <f t="shared" ref="Q107:R107" si="6">N107</f>
        <v>CH4</v>
      </c>
      <c r="R107" s="7" t="str">
        <f t="shared" si="6"/>
        <v>N2O</v>
      </c>
      <c r="S107" s="7" t="s">
        <v>322</v>
      </c>
    </row>
    <row r="108" spans="2:19" x14ac:dyDescent="0.25">
      <c r="C108" s="66">
        <v>2018</v>
      </c>
      <c r="D108" s="62">
        <f t="shared" si="3"/>
        <v>39195.154828332859</v>
      </c>
      <c r="E108" s="62">
        <f>F108+H108</f>
        <v>44053.11996590261</v>
      </c>
      <c r="F108" s="62">
        <f>'Other GHG 1990-2019'!H88</f>
        <v>937.60934934465604</v>
      </c>
      <c r="G108" s="62">
        <v>39195.154828332859</v>
      </c>
      <c r="H108" s="62">
        <v>43115.510616557956</v>
      </c>
      <c r="J108" s="62">
        <f>H108-G108</f>
        <v>3920.3557882250971</v>
      </c>
      <c r="L108" s="66">
        <f>C108</f>
        <v>2018</v>
      </c>
      <c r="M108" s="62">
        <f>J108</f>
        <v>3920.3557882250971</v>
      </c>
      <c r="N108" s="62">
        <f>'CH4 1990-2019'!I108</f>
        <v>18.411705026477193</v>
      </c>
      <c r="O108" s="62">
        <f>'N2O 1990-2019'!I109</f>
        <v>1.360331971057537</v>
      </c>
      <c r="P108" s="62">
        <f>M108</f>
        <v>3920.3557882250971</v>
      </c>
      <c r="Q108" s="66">
        <f>N108*Q$106</f>
        <v>515.52774074136141</v>
      </c>
      <c r="R108" s="66">
        <f>O108*R$106</f>
        <v>360.48797233024732</v>
      </c>
      <c r="S108" s="62">
        <f>SUM(P108:R108)</f>
        <v>4796.3715012967059</v>
      </c>
    </row>
    <row r="109" spans="2:19" x14ac:dyDescent="0.25">
      <c r="C109" s="66">
        <v>2019</v>
      </c>
      <c r="D109" s="62">
        <f t="shared" si="3"/>
        <v>37275.318574990517</v>
      </c>
      <c r="E109" s="62">
        <f>F109+H109</f>
        <v>41811.511644866623</v>
      </c>
      <c r="F109" s="62">
        <f>'Other GHG 1990-2019'!H89</f>
        <v>916.4698759914171</v>
      </c>
      <c r="G109" s="62">
        <v>37275.318574990517</v>
      </c>
      <c r="H109" s="62">
        <v>40895.041768875206</v>
      </c>
      <c r="J109" s="62">
        <f t="shared" si="4"/>
        <v>3619.723193884689</v>
      </c>
      <c r="L109" s="66">
        <f>C109</f>
        <v>2019</v>
      </c>
      <c r="M109" s="62">
        <f>J109</f>
        <v>3619.723193884689</v>
      </c>
      <c r="N109" s="62">
        <f>'CH4 1990-2019'!I109</f>
        <v>17.008581781500197</v>
      </c>
      <c r="O109" s="62">
        <f>'N2O 1990-2019'!I110</f>
        <v>1.334502912376422</v>
      </c>
      <c r="P109" s="62">
        <f t="shared" ref="P109" si="7">M109</f>
        <v>3619.723193884689</v>
      </c>
      <c r="Q109" s="66">
        <f>N109*Q$106</f>
        <v>476.24028988200553</v>
      </c>
      <c r="R109" s="66">
        <f>O109*R$106</f>
        <v>353.64327177975184</v>
      </c>
      <c r="S109" s="62">
        <f t="shared" ref="S109" si="8">SUM(P109:R109)</f>
        <v>4449.606755546446</v>
      </c>
    </row>
    <row r="110" spans="2:19" x14ac:dyDescent="0.25">
      <c r="B110" s="7" t="s">
        <v>280</v>
      </c>
      <c r="C110" s="66"/>
    </row>
    <row r="111" spans="2:19" x14ac:dyDescent="0.25">
      <c r="C111" s="66"/>
    </row>
    <row r="112" spans="2:19" x14ac:dyDescent="0.25">
      <c r="C112" s="66"/>
      <c r="H112" s="62"/>
    </row>
    <row r="113" spans="1:33" x14ac:dyDescent="0.25">
      <c r="B113" s="7" t="s">
        <v>2</v>
      </c>
      <c r="C113" s="66">
        <v>1990</v>
      </c>
      <c r="D113" s="7">
        <v>1990</v>
      </c>
      <c r="E113" s="7">
        <f>D113+1</f>
        <v>1991</v>
      </c>
      <c r="F113" s="7">
        <f t="shared" ref="F113:AG113" si="9">E113+1</f>
        <v>1992</v>
      </c>
      <c r="G113" s="7">
        <f t="shared" si="9"/>
        <v>1993</v>
      </c>
      <c r="H113" s="7">
        <f t="shared" si="9"/>
        <v>1994</v>
      </c>
      <c r="I113" s="7">
        <f t="shared" si="9"/>
        <v>1995</v>
      </c>
      <c r="J113" s="7">
        <f t="shared" si="9"/>
        <v>1996</v>
      </c>
      <c r="K113" s="7">
        <f t="shared" si="9"/>
        <v>1997</v>
      </c>
      <c r="L113" s="7">
        <f t="shared" si="9"/>
        <v>1998</v>
      </c>
      <c r="M113" s="7">
        <f t="shared" si="9"/>
        <v>1999</v>
      </c>
      <c r="N113" s="7">
        <f t="shared" si="9"/>
        <v>2000</v>
      </c>
      <c r="O113" s="7">
        <f t="shared" si="9"/>
        <v>2001</v>
      </c>
      <c r="P113" s="7">
        <f t="shared" si="9"/>
        <v>2002</v>
      </c>
      <c r="Q113" s="7">
        <f t="shared" si="9"/>
        <v>2003</v>
      </c>
      <c r="R113" s="7">
        <f t="shared" si="9"/>
        <v>2004</v>
      </c>
      <c r="S113" s="7">
        <f t="shared" si="9"/>
        <v>2005</v>
      </c>
      <c r="T113" s="7">
        <f t="shared" si="9"/>
        <v>2006</v>
      </c>
      <c r="U113" s="7">
        <f t="shared" si="9"/>
        <v>2007</v>
      </c>
      <c r="V113" s="7">
        <f t="shared" si="9"/>
        <v>2008</v>
      </c>
      <c r="W113" s="7">
        <f t="shared" si="9"/>
        <v>2009</v>
      </c>
      <c r="X113" s="7">
        <f t="shared" si="9"/>
        <v>2010</v>
      </c>
      <c r="Y113" s="7">
        <f t="shared" si="9"/>
        <v>2011</v>
      </c>
      <c r="Z113" s="7">
        <f t="shared" si="9"/>
        <v>2012</v>
      </c>
      <c r="AA113" s="7">
        <f t="shared" si="9"/>
        <v>2013</v>
      </c>
      <c r="AB113" s="7">
        <f t="shared" si="9"/>
        <v>2014</v>
      </c>
      <c r="AC113" s="7">
        <f t="shared" si="9"/>
        <v>2015</v>
      </c>
      <c r="AD113" s="7">
        <f t="shared" si="9"/>
        <v>2016</v>
      </c>
      <c r="AE113" s="7">
        <f t="shared" si="9"/>
        <v>2017</v>
      </c>
      <c r="AF113" s="7">
        <f t="shared" si="9"/>
        <v>2018</v>
      </c>
      <c r="AG113" s="7">
        <f t="shared" si="9"/>
        <v>2019</v>
      </c>
    </row>
    <row r="114" spans="1:33" x14ac:dyDescent="0.25">
      <c r="B114" s="7" t="str">
        <f>B38</f>
        <v>4. Land use, land-use change and forestry (2)</v>
      </c>
      <c r="C114" s="66">
        <f t="shared" ref="C114:W121" si="10">C38</f>
        <v>4525.7071673797345</v>
      </c>
      <c r="D114" s="66">
        <f t="shared" si="10"/>
        <v>4525.7071673797345</v>
      </c>
      <c r="E114" s="66">
        <f t="shared" si="10"/>
        <v>4376.0172999455808</v>
      </c>
      <c r="F114" s="66">
        <f t="shared" si="10"/>
        <v>4157.2753093721285</v>
      </c>
      <c r="G114" s="66">
        <f t="shared" si="10"/>
        <v>3991.8974844459458</v>
      </c>
      <c r="H114" s="66">
        <f t="shared" si="10"/>
        <v>4110.2562683789574</v>
      </c>
      <c r="I114" s="66">
        <f t="shared" si="10"/>
        <v>5039.228225624488</v>
      </c>
      <c r="J114" s="66">
        <f t="shared" si="10"/>
        <v>4607.1410389484417</v>
      </c>
      <c r="K114" s="66">
        <f t="shared" si="10"/>
        <v>3981.1221552806642</v>
      </c>
      <c r="L114" s="66">
        <f t="shared" si="10"/>
        <v>3788.5384197658213</v>
      </c>
      <c r="M114" s="66">
        <f t="shared" si="10"/>
        <v>3935.2347823534133</v>
      </c>
      <c r="N114" s="66">
        <f>N38</f>
        <v>5247.2797683076651</v>
      </c>
      <c r="O114" s="66">
        <f t="shared" si="10"/>
        <v>6276.5659474150598</v>
      </c>
      <c r="P114" s="66">
        <f t="shared" si="10"/>
        <v>6198.7648582692964</v>
      </c>
      <c r="Q114" s="66">
        <f t="shared" si="10"/>
        <v>6242.9262920352094</v>
      </c>
      <c r="R114" s="66">
        <f t="shared" si="10"/>
        <v>4733.3300920597148</v>
      </c>
      <c r="S114" s="66">
        <f t="shared" si="10"/>
        <v>5242.7518156737606</v>
      </c>
      <c r="T114" s="66">
        <f t="shared" si="10"/>
        <v>5678.3920572176357</v>
      </c>
      <c r="U114" s="66">
        <f t="shared" si="10"/>
        <v>4907.3699798874422</v>
      </c>
      <c r="V114" s="66">
        <f t="shared" si="10"/>
        <v>4127.7178071970566</v>
      </c>
      <c r="W114" s="66">
        <f t="shared" si="10"/>
        <v>3831.7335484667497</v>
      </c>
      <c r="X114" s="66">
        <f t="shared" ref="X114:AG114" si="11">X38</f>
        <v>5082.8096792223578</v>
      </c>
      <c r="Y114" s="66">
        <f t="shared" si="11"/>
        <v>4583.2753960455821</v>
      </c>
      <c r="Z114" s="66">
        <f t="shared" si="11"/>
        <v>3682.0579309004665</v>
      </c>
      <c r="AA114" s="66">
        <f t="shared" si="11"/>
        <v>3692.1717923801834</v>
      </c>
      <c r="AB114" s="66">
        <f t="shared" si="11"/>
        <v>4861.1144226110418</v>
      </c>
      <c r="AC114" s="66">
        <f t="shared" si="11"/>
        <v>4713.2876821278196</v>
      </c>
      <c r="AD114" s="66">
        <f t="shared" si="11"/>
        <v>4177.0370226818904</v>
      </c>
      <c r="AE114" s="66">
        <f t="shared" si="11"/>
        <v>5348.363734177532</v>
      </c>
      <c r="AF114" s="66">
        <f t="shared" si="11"/>
        <v>3920.3557882251012</v>
      </c>
      <c r="AG114" s="66">
        <f t="shared" si="11"/>
        <v>3619.7231938846949</v>
      </c>
    </row>
    <row r="115" spans="1:33" x14ac:dyDescent="0.25">
      <c r="B115" s="7" t="str">
        <f t="shared" ref="B115:Q121" si="12">B39</f>
        <v>A.  Forest land</v>
      </c>
      <c r="C115" s="66">
        <f t="shared" si="12"/>
        <v>-3862.4212894830753</v>
      </c>
      <c r="D115" s="66">
        <f t="shared" si="12"/>
        <v>-3862.4212894830753</v>
      </c>
      <c r="E115" s="66">
        <f t="shared" si="12"/>
        <v>-4001.744454154451</v>
      </c>
      <c r="F115" s="66">
        <f t="shared" si="12"/>
        <v>-3417.535618680321</v>
      </c>
      <c r="G115" s="66">
        <f t="shared" si="12"/>
        <v>-3655.6759371518756</v>
      </c>
      <c r="H115" s="66">
        <f t="shared" si="12"/>
        <v>-3259.9843938837193</v>
      </c>
      <c r="I115" s="66">
        <f t="shared" si="12"/>
        <v>-2933.2453329902355</v>
      </c>
      <c r="J115" s="66">
        <f t="shared" si="12"/>
        <v>-2756.9729853346789</v>
      </c>
      <c r="K115" s="66">
        <f t="shared" si="12"/>
        <v>-3642.7546692740111</v>
      </c>
      <c r="L115" s="66">
        <f t="shared" si="12"/>
        <v>-3191.7127859126222</v>
      </c>
      <c r="M115" s="66">
        <f t="shared" si="12"/>
        <v>-3118.3675836874545</v>
      </c>
      <c r="N115" s="66">
        <f t="shared" si="12"/>
        <v>-2174.7005942600408</v>
      </c>
      <c r="O115" s="66">
        <f t="shared" si="12"/>
        <v>-2439.9618498368782</v>
      </c>
      <c r="P115" s="66">
        <f t="shared" si="12"/>
        <v>-2407.6716084022719</v>
      </c>
      <c r="Q115" s="66">
        <f t="shared" si="12"/>
        <v>-2599.2614728741432</v>
      </c>
      <c r="R115" s="66">
        <f t="shared" si="10"/>
        <v>-3437.9659448316011</v>
      </c>
      <c r="S115" s="66">
        <f t="shared" si="10"/>
        <v>-3205.7843297052859</v>
      </c>
      <c r="T115" s="66">
        <f t="shared" si="10"/>
        <v>-3479.9187550748834</v>
      </c>
      <c r="U115" s="66">
        <f t="shared" si="10"/>
        <v>-3218.3065030149569</v>
      </c>
      <c r="V115" s="66">
        <f t="shared" si="10"/>
        <v>-4464.5307282291606</v>
      </c>
      <c r="W115" s="66">
        <f t="shared" si="10"/>
        <v>-4283.326395521588</v>
      </c>
      <c r="X115" s="66">
        <f t="shared" ref="X115:AG115" si="13">X39</f>
        <v>-3962.2654674029395</v>
      </c>
      <c r="Y115" s="66">
        <f t="shared" si="13"/>
        <v>-4027.5820745987467</v>
      </c>
      <c r="Z115" s="66">
        <f t="shared" si="13"/>
        <v>-4734.2808429434926</v>
      </c>
      <c r="AA115" s="66">
        <f t="shared" si="13"/>
        <v>-5537.7422973871899</v>
      </c>
      <c r="AB115" s="66">
        <f t="shared" si="13"/>
        <v>-4317.8135266547524</v>
      </c>
      <c r="AC115" s="66">
        <f t="shared" si="13"/>
        <v>-5098.1998757049369</v>
      </c>
      <c r="AD115" s="66">
        <f t="shared" si="13"/>
        <v>-4464.1261789317532</v>
      </c>
      <c r="AE115" s="66">
        <f t="shared" si="13"/>
        <v>-3898.2687478221283</v>
      </c>
      <c r="AF115" s="66">
        <f t="shared" si="13"/>
        <v>-4227.4677506865646</v>
      </c>
      <c r="AG115" s="66">
        <f t="shared" si="13"/>
        <v>-4687.7138151024419</v>
      </c>
    </row>
    <row r="116" spans="1:33" x14ac:dyDescent="0.25">
      <c r="B116" s="7" t="str">
        <f t="shared" si="12"/>
        <v>B.  Cropland</v>
      </c>
      <c r="C116" s="66">
        <f t="shared" si="10"/>
        <v>20.244460656729931</v>
      </c>
      <c r="D116" s="66">
        <f t="shared" si="10"/>
        <v>20.244460656729931</v>
      </c>
      <c r="E116" s="66">
        <f t="shared" si="10"/>
        <v>85.055401614104724</v>
      </c>
      <c r="F116" s="66">
        <f t="shared" si="10"/>
        <v>58.083201842487519</v>
      </c>
      <c r="G116" s="66">
        <f t="shared" si="10"/>
        <v>24.641726687165491</v>
      </c>
      <c r="H116" s="66">
        <f t="shared" si="10"/>
        <v>63.954134422265653</v>
      </c>
      <c r="I116" s="66">
        <f t="shared" si="10"/>
        <v>88.766506065047736</v>
      </c>
      <c r="J116" s="66">
        <f t="shared" si="10"/>
        <v>41.612158128609202</v>
      </c>
      <c r="K116" s="66">
        <f t="shared" si="10"/>
        <v>95.214878694212103</v>
      </c>
      <c r="L116" s="66">
        <f t="shared" si="10"/>
        <v>21.77481495053819</v>
      </c>
      <c r="M116" s="66">
        <f t="shared" si="10"/>
        <v>125.61882922389314</v>
      </c>
      <c r="N116" s="66">
        <f t="shared" si="10"/>
        <v>74.18507400962767</v>
      </c>
      <c r="O116" s="66">
        <f t="shared" si="10"/>
        <v>258.49299248890162</v>
      </c>
      <c r="P116" s="66">
        <f t="shared" si="10"/>
        <v>258.54965164627731</v>
      </c>
      <c r="Q116" s="66">
        <f t="shared" si="10"/>
        <v>146.69502376038506</v>
      </c>
      <c r="R116" s="66">
        <f t="shared" si="10"/>
        <v>147.99799263274508</v>
      </c>
      <c r="S116" s="66">
        <f t="shared" si="10"/>
        <v>102.45498315825823</v>
      </c>
      <c r="T116" s="66">
        <f t="shared" si="10"/>
        <v>-0.86603963792991001</v>
      </c>
      <c r="U116" s="66">
        <f t="shared" si="10"/>
        <v>70.693178213160394</v>
      </c>
      <c r="V116" s="66">
        <f t="shared" si="10"/>
        <v>249.33579207255281</v>
      </c>
      <c r="W116" s="66">
        <f t="shared" si="10"/>
        <v>13.356336791970969</v>
      </c>
      <c r="X116" s="66">
        <f t="shared" ref="X116:AG116" si="14">X40</f>
        <v>-74.398030540178098</v>
      </c>
      <c r="Y116" s="66">
        <f t="shared" si="14"/>
        <v>44.848083877926051</v>
      </c>
      <c r="Z116" s="66">
        <f t="shared" si="14"/>
        <v>101.59764657397962</v>
      </c>
      <c r="AA116" s="66">
        <f t="shared" si="14"/>
        <v>39.264167787819297</v>
      </c>
      <c r="AB116" s="66">
        <f t="shared" si="14"/>
        <v>1.6869817298580401</v>
      </c>
      <c r="AC116" s="66">
        <f t="shared" si="14"/>
        <v>-9.4559773005731103</v>
      </c>
      <c r="AD116" s="66">
        <f t="shared" si="14"/>
        <v>-42.967287159748352</v>
      </c>
      <c r="AE116" s="66">
        <f t="shared" si="14"/>
        <v>-43.19472459537932</v>
      </c>
      <c r="AF116" s="66">
        <f t="shared" si="14"/>
        <v>-129.28329974434979</v>
      </c>
      <c r="AG116" s="66">
        <f t="shared" si="14"/>
        <v>-110.14181425200611</v>
      </c>
    </row>
    <row r="117" spans="1:33" x14ac:dyDescent="0.25">
      <c r="B117" s="7" t="str">
        <f t="shared" si="12"/>
        <v>C.  Grassland</v>
      </c>
      <c r="C117" s="66">
        <f t="shared" si="10"/>
        <v>6964.3590246177046</v>
      </c>
      <c r="D117" s="66">
        <f t="shared" si="10"/>
        <v>6964.3590246177046</v>
      </c>
      <c r="E117" s="66">
        <f t="shared" si="10"/>
        <v>7048.0547723235513</v>
      </c>
      <c r="F117" s="66">
        <f t="shared" si="10"/>
        <v>6507.0758702414232</v>
      </c>
      <c r="G117" s="66">
        <f t="shared" si="10"/>
        <v>6122.0599084259684</v>
      </c>
      <c r="H117" s="66">
        <f t="shared" si="10"/>
        <v>6001.0144143956759</v>
      </c>
      <c r="I117" s="66">
        <f t="shared" si="10"/>
        <v>6205.082769733197</v>
      </c>
      <c r="J117" s="66">
        <f t="shared" si="10"/>
        <v>5863.5516321029318</v>
      </c>
      <c r="K117" s="66">
        <f t="shared" si="10"/>
        <v>6263.6316668405752</v>
      </c>
      <c r="L117" s="66">
        <f t="shared" si="10"/>
        <v>5996.9201806774345</v>
      </c>
      <c r="M117" s="66">
        <f t="shared" si="10"/>
        <v>5957.1799334316784</v>
      </c>
      <c r="N117" s="66">
        <f t="shared" si="10"/>
        <v>6592.7702862040715</v>
      </c>
      <c r="O117" s="66">
        <f t="shared" si="10"/>
        <v>6426.3627421954579</v>
      </c>
      <c r="P117" s="66">
        <f t="shared" si="10"/>
        <v>6821.3190965479189</v>
      </c>
      <c r="Q117" s="66">
        <f t="shared" si="10"/>
        <v>6505.4236476508131</v>
      </c>
      <c r="R117" s="66">
        <f t="shared" si="10"/>
        <v>6203.7170413129916</v>
      </c>
      <c r="S117" s="66">
        <f t="shared" si="10"/>
        <v>6485.7420412732481</v>
      </c>
      <c r="T117" s="66">
        <f t="shared" si="10"/>
        <v>6347.3596367074515</v>
      </c>
      <c r="U117" s="66">
        <f t="shared" si="10"/>
        <v>6346.839094138385</v>
      </c>
      <c r="V117" s="66">
        <f t="shared" si="10"/>
        <v>6592.0165474455425</v>
      </c>
      <c r="W117" s="66">
        <f t="shared" si="10"/>
        <v>6761.0306847936181</v>
      </c>
      <c r="X117" s="66">
        <f t="shared" ref="X117:AG117" si="15">X41</f>
        <v>6546.2358676943441</v>
      </c>
      <c r="Y117" s="66">
        <f t="shared" si="15"/>
        <v>6573.6990656412545</v>
      </c>
      <c r="Z117" s="66">
        <f t="shared" si="15"/>
        <v>6714.7369854085218</v>
      </c>
      <c r="AA117" s="66">
        <f t="shared" si="15"/>
        <v>7070.0466839495275</v>
      </c>
      <c r="AB117" s="66">
        <f t="shared" si="15"/>
        <v>6543.2452125980608</v>
      </c>
      <c r="AC117" s="66">
        <f t="shared" si="15"/>
        <v>6573.5254750317472</v>
      </c>
      <c r="AD117" s="66">
        <f t="shared" si="15"/>
        <v>6616.5626536732661</v>
      </c>
      <c r="AE117" s="66">
        <f t="shared" si="15"/>
        <v>6596.1542804385017</v>
      </c>
      <c r="AF117" s="66">
        <f t="shared" si="15"/>
        <v>6683.1868970782334</v>
      </c>
      <c r="AG117" s="66">
        <f t="shared" si="15"/>
        <v>6684.0953923280385</v>
      </c>
    </row>
    <row r="118" spans="1:33" x14ac:dyDescent="0.25">
      <c r="B118" s="7" t="str">
        <f t="shared" si="12"/>
        <v>D.  Wetlands</v>
      </c>
      <c r="C118" s="66">
        <f t="shared" si="10"/>
        <v>1735.3005530285438</v>
      </c>
      <c r="D118" s="66">
        <f t="shared" si="10"/>
        <v>1735.3005530285438</v>
      </c>
      <c r="E118" s="66">
        <f t="shared" si="10"/>
        <v>1583.0035189833679</v>
      </c>
      <c r="F118" s="66">
        <f t="shared" si="10"/>
        <v>1485.7915950531649</v>
      </c>
      <c r="G118" s="66">
        <f t="shared" si="10"/>
        <v>2015.0622301124956</v>
      </c>
      <c r="H118" s="66">
        <f t="shared" si="10"/>
        <v>1846.7555743964444</v>
      </c>
      <c r="I118" s="66">
        <f t="shared" si="10"/>
        <v>2228.4670245139991</v>
      </c>
      <c r="J118" s="66">
        <f t="shared" si="10"/>
        <v>2099.2051363048072</v>
      </c>
      <c r="K118" s="66">
        <f t="shared" si="10"/>
        <v>1895.4625693689634</v>
      </c>
      <c r="L118" s="66">
        <f t="shared" si="10"/>
        <v>1686.1253561437325</v>
      </c>
      <c r="M118" s="66">
        <f t="shared" si="10"/>
        <v>1664.0249455342507</v>
      </c>
      <c r="N118" s="66">
        <f t="shared" si="10"/>
        <v>1643.3446659569493</v>
      </c>
      <c r="O118" s="66">
        <f t="shared" si="10"/>
        <v>2855.70675347114</v>
      </c>
      <c r="P118" s="66">
        <f t="shared" si="10"/>
        <v>2200.8735939590497</v>
      </c>
      <c r="Q118" s="66">
        <f t="shared" si="10"/>
        <v>3039.1946018781182</v>
      </c>
      <c r="R118" s="66">
        <f t="shared" si="10"/>
        <v>2553.3696820293017</v>
      </c>
      <c r="S118" s="66">
        <f t="shared" si="10"/>
        <v>2613.7678773770285</v>
      </c>
      <c r="T118" s="66">
        <f t="shared" si="10"/>
        <v>2218.8177234389636</v>
      </c>
      <c r="U118" s="66">
        <f t="shared" si="10"/>
        <v>2361.6821578265399</v>
      </c>
      <c r="V118" s="66">
        <f t="shared" si="10"/>
        <v>1989.8682164912718</v>
      </c>
      <c r="W118" s="66">
        <f t="shared" si="10"/>
        <v>1821.1874542107437</v>
      </c>
      <c r="X118" s="66">
        <f t="shared" ref="X118:AG118" si="16">X42</f>
        <v>3151.8349959324078</v>
      </c>
      <c r="Y118" s="66">
        <f t="shared" si="16"/>
        <v>2668.9310286788955</v>
      </c>
      <c r="Z118" s="66">
        <f t="shared" si="16"/>
        <v>2006.1615470437821</v>
      </c>
      <c r="AA118" s="66">
        <f t="shared" si="16"/>
        <v>2709.8934961390964</v>
      </c>
      <c r="AB118" s="66">
        <f t="shared" si="16"/>
        <v>3333.2687088436764</v>
      </c>
      <c r="AC118" s="66">
        <f t="shared" si="16"/>
        <v>3898.3935832897332</v>
      </c>
      <c r="AD118" s="66">
        <f t="shared" si="16"/>
        <v>2788.6579423475823</v>
      </c>
      <c r="AE118" s="66">
        <f t="shared" si="16"/>
        <v>3450.9670636968617</v>
      </c>
      <c r="AF118" s="66">
        <f t="shared" si="16"/>
        <v>2315.7431958474267</v>
      </c>
      <c r="AG118" s="66">
        <f t="shared" si="16"/>
        <v>2212.3157064799975</v>
      </c>
    </row>
    <row r="119" spans="1:33" x14ac:dyDescent="0.25">
      <c r="B119" s="7" t="str">
        <f t="shared" si="12"/>
        <v xml:space="preserve">E.  Settlements </v>
      </c>
      <c r="C119" s="66">
        <f t="shared" si="10"/>
        <v>80.456230689129725</v>
      </c>
      <c r="D119" s="66">
        <f t="shared" si="10"/>
        <v>80.456230689129725</v>
      </c>
      <c r="E119" s="66">
        <f t="shared" si="10"/>
        <v>70.460096028889197</v>
      </c>
      <c r="F119" s="66">
        <f t="shared" si="10"/>
        <v>83.615213121575451</v>
      </c>
      <c r="G119" s="66">
        <f t="shared" si="10"/>
        <v>71.367641980219148</v>
      </c>
      <c r="H119" s="66">
        <f t="shared" si="10"/>
        <v>103.4260082619185</v>
      </c>
      <c r="I119" s="66">
        <f t="shared" si="10"/>
        <v>109.1114552148351</v>
      </c>
      <c r="J119" s="66">
        <f t="shared" si="10"/>
        <v>124.57845947087363</v>
      </c>
      <c r="K119" s="66">
        <f t="shared" si="10"/>
        <v>138.29067623549085</v>
      </c>
      <c r="L119" s="66">
        <f t="shared" si="10"/>
        <v>153.23570634651784</v>
      </c>
      <c r="M119" s="66">
        <f t="shared" si="10"/>
        <v>168.17608148325735</v>
      </c>
      <c r="N119" s="66">
        <f t="shared" si="10"/>
        <v>194.13048282060572</v>
      </c>
      <c r="O119" s="66">
        <f t="shared" si="10"/>
        <v>247.80008355850396</v>
      </c>
      <c r="P119" s="66">
        <f t="shared" si="10"/>
        <v>234.56349158116566</v>
      </c>
      <c r="Q119" s="66">
        <f t="shared" si="10"/>
        <v>287.78115854130311</v>
      </c>
      <c r="R119" s="66">
        <f t="shared" si="10"/>
        <v>311.23593660474648</v>
      </c>
      <c r="S119" s="66">
        <f t="shared" si="10"/>
        <v>330.43854531629086</v>
      </c>
      <c r="T119" s="66">
        <f t="shared" si="10"/>
        <v>416.57986446459557</v>
      </c>
      <c r="U119" s="66">
        <f t="shared" si="10"/>
        <v>535.24764334929318</v>
      </c>
      <c r="V119" s="66">
        <f t="shared" si="10"/>
        <v>429.56455532428907</v>
      </c>
      <c r="W119" s="66">
        <f t="shared" si="10"/>
        <v>216.87175210048386</v>
      </c>
      <c r="X119" s="66">
        <f t="shared" ref="X119:AG119" si="17">X43</f>
        <v>229.04150691543401</v>
      </c>
      <c r="Y119" s="66">
        <f t="shared" si="17"/>
        <v>54.022021521090529</v>
      </c>
      <c r="Z119" s="66">
        <f t="shared" si="17"/>
        <v>251.35998189368462</v>
      </c>
      <c r="AA119" s="66">
        <f t="shared" si="17"/>
        <v>61.973647531926552</v>
      </c>
      <c r="AB119" s="66">
        <f t="shared" si="17"/>
        <v>52.833487621689883</v>
      </c>
      <c r="AC119" s="66">
        <f t="shared" si="17"/>
        <v>66.957904975840805</v>
      </c>
      <c r="AD119" s="66">
        <f t="shared" si="17"/>
        <v>72.091738862578126</v>
      </c>
      <c r="AE119" s="66">
        <f t="shared" si="17"/>
        <v>101.28854261450043</v>
      </c>
      <c r="AF119" s="66">
        <f t="shared" si="17"/>
        <v>93.852924134582011</v>
      </c>
      <c r="AG119" s="66">
        <f t="shared" si="17"/>
        <v>129.38695360367768</v>
      </c>
    </row>
    <row r="120" spans="1:33" x14ac:dyDescent="0.25">
      <c r="B120" s="7" t="str">
        <f t="shared" si="12"/>
        <v>F.  Other land</v>
      </c>
      <c r="C120" s="66">
        <f t="shared" si="10"/>
        <v>0.81165511631523002</v>
      </c>
      <c r="D120" s="66">
        <f t="shared" si="10"/>
        <v>0.81165511631523002</v>
      </c>
      <c r="E120" s="66">
        <f t="shared" si="10"/>
        <v>0.82052844964855998</v>
      </c>
      <c r="F120" s="66">
        <f t="shared" si="10"/>
        <v>0.82940178298190004</v>
      </c>
      <c r="G120" s="66">
        <f t="shared" si="10"/>
        <v>0.83827511631523</v>
      </c>
      <c r="H120" s="66">
        <f t="shared" si="10"/>
        <v>0.84714844964855995</v>
      </c>
      <c r="I120" s="66">
        <f t="shared" si="10"/>
        <v>20.744522509058349</v>
      </c>
      <c r="J120" s="66">
        <f t="shared" si="10"/>
        <v>24.884000642391719</v>
      </c>
      <c r="K120" s="66">
        <f t="shared" si="10"/>
        <v>25.152620642391721</v>
      </c>
      <c r="L120" s="66">
        <f t="shared" si="10"/>
        <v>25.421240642391719</v>
      </c>
      <c r="M120" s="66">
        <f t="shared" si="10"/>
        <v>25.689860642391722</v>
      </c>
      <c r="N120" s="66">
        <f t="shared" si="10"/>
        <v>40.801880088513101</v>
      </c>
      <c r="O120" s="66">
        <f t="shared" si="10"/>
        <v>44.11994637257105</v>
      </c>
      <c r="P120" s="66">
        <f t="shared" si="10"/>
        <v>44.540879705904381</v>
      </c>
      <c r="Q120" s="66">
        <f t="shared" si="10"/>
        <v>44.961813039237711</v>
      </c>
      <c r="R120" s="66">
        <f t="shared" si="10"/>
        <v>45.382746372571049</v>
      </c>
      <c r="S120" s="66">
        <f t="shared" si="10"/>
        <v>45.803679705904337</v>
      </c>
      <c r="T120" s="66">
        <f t="shared" si="10"/>
        <v>1450.3397333333346</v>
      </c>
      <c r="U120" s="66">
        <f t="shared" si="10"/>
        <v>9.4864000000000104</v>
      </c>
      <c r="V120" s="66">
        <f t="shared" si="10"/>
        <v>19.620474222224789</v>
      </c>
      <c r="W120" s="66">
        <f t="shared" si="10"/>
        <v>11.09973333333334</v>
      </c>
      <c r="X120" s="66">
        <f t="shared" ref="X120:AG121" si="18">X44</f>
        <v>11.09086000000001</v>
      </c>
      <c r="Y120" s="66">
        <f t="shared" si="18"/>
        <v>11.08198666666668</v>
      </c>
      <c r="Z120" s="66">
        <f t="shared" si="18"/>
        <v>11.073113333333341</v>
      </c>
      <c r="AA120" s="66">
        <f t="shared" si="18"/>
        <v>11.064240000000011</v>
      </c>
      <c r="AB120" s="66">
        <f t="shared" si="18"/>
        <v>11.064240000000011</v>
      </c>
      <c r="AC120" s="66">
        <f t="shared" si="18"/>
        <v>10.78674666666668</v>
      </c>
      <c r="AD120" s="66">
        <f t="shared" si="18"/>
        <v>10.51812666666668</v>
      </c>
      <c r="AE120" s="66">
        <f t="shared" si="18"/>
        <v>10.249506666666679</v>
      </c>
      <c r="AF120" s="66">
        <f t="shared" si="18"/>
        <v>9.9808866666666791</v>
      </c>
      <c r="AG120" s="66">
        <f t="shared" si="18"/>
        <v>9.7139732776554002</v>
      </c>
    </row>
    <row r="121" spans="1:33" x14ac:dyDescent="0.25">
      <c r="B121" s="7" t="str">
        <f t="shared" si="12"/>
        <v>G.  Harvested wood products</v>
      </c>
      <c r="C121" s="66">
        <f t="shared" si="10"/>
        <v>-413.04346724561293</v>
      </c>
      <c r="D121" s="66">
        <f t="shared" si="10"/>
        <v>-413.04346724561293</v>
      </c>
      <c r="E121" s="66">
        <f t="shared" si="10"/>
        <v>-409.63256329952986</v>
      </c>
      <c r="F121" s="66">
        <f t="shared" si="10"/>
        <v>-560.58435398918311</v>
      </c>
      <c r="G121" s="66">
        <f t="shared" si="10"/>
        <v>-586.39636072434257</v>
      </c>
      <c r="H121" s="66">
        <f t="shared" si="10"/>
        <v>-645.75661766327653</v>
      </c>
      <c r="I121" s="66">
        <f t="shared" si="10"/>
        <v>-679.6987194214139</v>
      </c>
      <c r="J121" s="66">
        <f t="shared" si="10"/>
        <v>-789.71736236649281</v>
      </c>
      <c r="K121" s="66">
        <f t="shared" si="10"/>
        <v>-793.8755872269578</v>
      </c>
      <c r="L121" s="66">
        <f t="shared" si="10"/>
        <v>-903.22609308217091</v>
      </c>
      <c r="M121" s="66">
        <f t="shared" si="10"/>
        <v>-887.08728427460323</v>
      </c>
      <c r="N121" s="66">
        <f t="shared" si="10"/>
        <v>-1123.2520265120611</v>
      </c>
      <c r="O121" s="66">
        <f t="shared" si="10"/>
        <v>-1115.954720834636</v>
      </c>
      <c r="P121" s="66">
        <f t="shared" si="10"/>
        <v>-953.41024676874827</v>
      </c>
      <c r="Q121" s="66">
        <f t="shared" si="10"/>
        <v>-1181.8684799605053</v>
      </c>
      <c r="R121" s="66">
        <f t="shared" si="10"/>
        <v>-1090.4073620610397</v>
      </c>
      <c r="S121" s="66">
        <f t="shared" si="10"/>
        <v>-1129.6709814516839</v>
      </c>
      <c r="T121" s="66">
        <f t="shared" si="10"/>
        <v>-1273.9201060138962</v>
      </c>
      <c r="U121" s="66">
        <f t="shared" si="10"/>
        <v>-1198.271990624979</v>
      </c>
      <c r="V121" s="66">
        <f t="shared" si="10"/>
        <v>-688.15705012966407</v>
      </c>
      <c r="W121" s="66">
        <f t="shared" si="10"/>
        <v>-708.48601724181174</v>
      </c>
      <c r="X121" s="66">
        <f t="shared" si="18"/>
        <v>-818.73005337671043</v>
      </c>
      <c r="Y121" s="66">
        <f t="shared" si="18"/>
        <v>-741.72471574150427</v>
      </c>
      <c r="Z121" s="66">
        <f t="shared" si="18"/>
        <v>-668.59050040934176</v>
      </c>
      <c r="AA121" s="66">
        <f t="shared" si="18"/>
        <v>-662.32814564099601</v>
      </c>
      <c r="AB121" s="66">
        <f t="shared" si="18"/>
        <v>-763.17068152749141</v>
      </c>
      <c r="AC121" s="66">
        <f t="shared" si="18"/>
        <v>-728.72017483065918</v>
      </c>
      <c r="AD121" s="66">
        <f t="shared" si="18"/>
        <v>-803.69997277670166</v>
      </c>
      <c r="AE121" s="66">
        <f t="shared" si="18"/>
        <v>-868.83218682149072</v>
      </c>
      <c r="AF121" s="66">
        <f t="shared" si="18"/>
        <v>-825.65706507089385</v>
      </c>
      <c r="AG121" s="66">
        <f t="shared" si="18"/>
        <v>-617.93320245022664</v>
      </c>
    </row>
    <row r="122" spans="1:33" x14ac:dyDescent="0.25"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1:33" x14ac:dyDescent="0.25">
      <c r="A123" s="7">
        <v>28</v>
      </c>
      <c r="B123" s="7" t="s">
        <v>3</v>
      </c>
      <c r="C123" s="66"/>
    </row>
    <row r="124" spans="1:33" x14ac:dyDescent="0.25">
      <c r="B124" s="7" t="str">
        <f>'CH4 1990-2019'!A38</f>
        <v>4. Land use, land-use change and forestry</v>
      </c>
      <c r="C124" s="62">
        <f>'CH4 1990-2019'!B38</f>
        <v>18.383865598115189</v>
      </c>
      <c r="D124" s="62">
        <f>'CH4 1990-2019'!C38</f>
        <v>18.383865598115189</v>
      </c>
      <c r="E124" s="62">
        <f>'CH4 1990-2019'!D38</f>
        <v>17.327280473070019</v>
      </c>
      <c r="F124" s="62">
        <f>'CH4 1990-2019'!E38</f>
        <v>16.113498654709591</v>
      </c>
      <c r="G124" s="62">
        <f>'CH4 1990-2019'!F38</f>
        <v>18.67244213092718</v>
      </c>
      <c r="H124" s="62">
        <f>'CH4 1990-2019'!G38</f>
        <v>17.80002240748987</v>
      </c>
      <c r="I124" s="62">
        <f>'CH4 1990-2019'!H38</f>
        <v>18.324595138300179</v>
      </c>
      <c r="J124" s="62">
        <f>'CH4 1990-2019'!I38</f>
        <v>19.887964762902591</v>
      </c>
      <c r="K124" s="62">
        <f>'CH4 1990-2019'!J38</f>
        <v>16.544703813180391</v>
      </c>
      <c r="L124" s="62">
        <f>'CH4 1990-2019'!K38</f>
        <v>15.57565493389265</v>
      </c>
      <c r="M124" s="62">
        <f>'CH4 1990-2019'!L38</f>
        <v>14.67083096241111</v>
      </c>
      <c r="N124" s="62">
        <f>'CH4 1990-2019'!M38</f>
        <v>17.340390010026422</v>
      </c>
      <c r="O124" s="62">
        <f>'CH4 1990-2019'!N38</f>
        <v>25.74502237920861</v>
      </c>
      <c r="P124" s="62">
        <f>'CH4 1990-2019'!O38</f>
        <v>14.9933978498124</v>
      </c>
      <c r="Q124" s="62">
        <f>'CH4 1990-2019'!P38</f>
        <v>23.08420044547853</v>
      </c>
      <c r="R124" s="62">
        <f>'CH4 1990-2019'!Q38</f>
        <v>18.58954851346796</v>
      </c>
      <c r="S124" s="62">
        <f>'CH4 1990-2019'!R38</f>
        <v>18.17279077512006</v>
      </c>
      <c r="T124" s="62">
        <f>'CH4 1990-2019'!S38</f>
        <v>17.41214880708668</v>
      </c>
      <c r="U124" s="62">
        <f>'CH4 1990-2019'!T38</f>
        <v>16.670029423216938</v>
      </c>
      <c r="V124" s="62">
        <f>'CH4 1990-2019'!U38</f>
        <v>15.65021812615063</v>
      </c>
      <c r="W124" s="62">
        <f>'CH4 1990-2019'!V38</f>
        <v>15.408761650782569</v>
      </c>
      <c r="X124" s="62">
        <f>'CH4 1990-2019'!W38</f>
        <v>27.822563309420229</v>
      </c>
      <c r="Y124" s="62">
        <f>'CH4 1990-2019'!X38</f>
        <v>19.724526723936869</v>
      </c>
      <c r="Z124" s="62">
        <f>'CH4 1990-2019'!Y38</f>
        <v>14.99782834585586</v>
      </c>
      <c r="AA124" s="62">
        <f>'CH4 1990-2019'!Z38</f>
        <v>18.068151783612262</v>
      </c>
      <c r="AB124" s="62">
        <f>'CH4 1990-2019'!AA38</f>
        <v>24.21465717624541</v>
      </c>
      <c r="AC124" s="62">
        <f>'CH4 1990-2019'!AB38</f>
        <v>17.618962643749828</v>
      </c>
      <c r="AD124" s="62">
        <f>'CH4 1990-2019'!AC38</f>
        <v>16.345282673709502</v>
      </c>
      <c r="AE124" s="62">
        <f>'CH4 1990-2019'!AD38</f>
        <v>27.012987145546418</v>
      </c>
      <c r="AF124" s="62">
        <f>'CH4 1990-2019'!AE38</f>
        <v>18.411705026477222</v>
      </c>
      <c r="AG124" s="62">
        <f>'CH4 1990-2019'!AF38</f>
        <v>17.008581781500091</v>
      </c>
    </row>
    <row r="125" spans="1:33" x14ac:dyDescent="0.25">
      <c r="B125" s="7" t="str">
        <f>'CH4 1990-2019'!A39</f>
        <v>A.  Forest land</v>
      </c>
      <c r="C125" s="62">
        <f>'CH4 1990-2019'!B39</f>
        <v>2.3402035142949198</v>
      </c>
      <c r="D125" s="62">
        <f>'CH4 1990-2019'!C39</f>
        <v>2.3402035142949198</v>
      </c>
      <c r="E125" s="62">
        <f>'CH4 1990-2019'!D39</f>
        <v>2.19292822072866</v>
      </c>
      <c r="F125" s="62">
        <f>'CH4 1990-2019'!E39</f>
        <v>2.1167718776348501</v>
      </c>
      <c r="G125" s="62">
        <f>'CH4 1990-2019'!F39</f>
        <v>2.4252664074757599</v>
      </c>
      <c r="H125" s="62">
        <f>'CH4 1990-2019'!G39</f>
        <v>2.5745933446046299</v>
      </c>
      <c r="I125" s="62">
        <f>'CH4 1990-2019'!H39</f>
        <v>2.9076002958215801</v>
      </c>
      <c r="J125" s="62">
        <f>'CH4 1990-2019'!I39</f>
        <v>3.4277963064316901</v>
      </c>
      <c r="K125" s="62">
        <f>'CH4 1990-2019'!J39</f>
        <v>2.6750714829592899</v>
      </c>
      <c r="L125" s="62">
        <f>'CH4 1990-2019'!K39</f>
        <v>2.4822583956252098</v>
      </c>
      <c r="M125" s="62">
        <f>'CH4 1990-2019'!L39</f>
        <v>2.4670306232721302</v>
      </c>
      <c r="N125" s="62">
        <f>'CH4 1990-2019'!M39</f>
        <v>2.8028901164153099</v>
      </c>
      <c r="O125" s="62">
        <f>'CH4 1990-2019'!N39</f>
        <v>3.4301227225464901</v>
      </c>
      <c r="P125" s="62">
        <f>'CH4 1990-2019'!O39</f>
        <v>2.6029262801505002</v>
      </c>
      <c r="Q125" s="62">
        <f>'CH4 1990-2019'!P39</f>
        <v>3.4787911317052398</v>
      </c>
      <c r="R125" s="62">
        <f>'CH4 1990-2019'!Q39</f>
        <v>3.2635806085997001</v>
      </c>
      <c r="S125" s="62">
        <f>'CH4 1990-2019'!R39</f>
        <v>2.75498152561712</v>
      </c>
      <c r="T125" s="62">
        <f>'CH4 1990-2019'!S39</f>
        <v>3.1435196293198402</v>
      </c>
      <c r="U125" s="62">
        <f>'CH4 1990-2019'!T39</f>
        <v>3.2858871275205699</v>
      </c>
      <c r="V125" s="62">
        <f>'CH4 1990-2019'!U39</f>
        <v>3.07675259802014</v>
      </c>
      <c r="W125" s="62">
        <f>'CH4 1990-2019'!V39</f>
        <v>2.7743047442715301</v>
      </c>
      <c r="X125" s="62">
        <f>'CH4 1990-2019'!W39</f>
        <v>4.09948382135134</v>
      </c>
      <c r="Y125" s="62">
        <f>'CH4 1990-2019'!X39</f>
        <v>4.1729080281745601</v>
      </c>
      <c r="Z125" s="62">
        <f>'CH4 1990-2019'!Y39</f>
        <v>2.7434876734405398</v>
      </c>
      <c r="AA125" s="62">
        <f>'CH4 1990-2019'!Z39</f>
        <v>3.0729639055228</v>
      </c>
      <c r="AB125" s="62">
        <f>'CH4 1990-2019'!AA39</f>
        <v>3.0269700254407899</v>
      </c>
      <c r="AC125" s="62">
        <f>'CH4 1990-2019'!AB39</f>
        <v>2.90979707931705</v>
      </c>
      <c r="AD125" s="62">
        <f>'CH4 1990-2019'!AC39</f>
        <v>2.7881667757014998</v>
      </c>
      <c r="AE125" s="62">
        <f>'CH4 1990-2019'!AD39</f>
        <v>4.6214000866926703</v>
      </c>
      <c r="AF125" s="62">
        <f>'CH4 1990-2019'!AE39</f>
        <v>3.2722555345344602</v>
      </c>
      <c r="AG125" s="62">
        <f>'CH4 1990-2019'!AF39</f>
        <v>2.87623180068451</v>
      </c>
    </row>
    <row r="126" spans="1:33" x14ac:dyDescent="0.25">
      <c r="B126" s="7" t="str">
        <f>'CH4 1990-2019'!A40</f>
        <v>B.  Cropland</v>
      </c>
      <c r="C126" s="62">
        <f>'CH4 1990-2019'!B40</f>
        <v>1.8909774299E-3</v>
      </c>
      <c r="D126" s="62">
        <f>'CH4 1990-2019'!C40</f>
        <v>1.8909774299E-3</v>
      </c>
      <c r="E126" s="62">
        <f>'CH4 1990-2019'!D40</f>
        <v>1.21528112461E-3</v>
      </c>
      <c r="F126" s="62">
        <f>'CH4 1990-2019'!E40</f>
        <v>7.8118270689999996E-4</v>
      </c>
      <c r="G126" s="62">
        <f>'CH4 1990-2019'!F40</f>
        <v>1.5750043375E-3</v>
      </c>
      <c r="H126" s="62">
        <f>'CH4 1990-2019'!G40</f>
        <v>1.8083383134200001E-3</v>
      </c>
      <c r="I126" s="62">
        <f>'CH4 1990-2019'!H40</f>
        <v>2.46945124521E-3</v>
      </c>
      <c r="J126" s="62">
        <f>'CH4 1990-2019'!I40</f>
        <v>2.7465353416200001E-3</v>
      </c>
      <c r="K126" s="62">
        <f>'CH4 1990-2019'!J40</f>
        <v>1.50208747002E-3</v>
      </c>
      <c r="L126" s="62">
        <f>'CH4 1990-2019'!K40</f>
        <v>7.9236329325000005E-4</v>
      </c>
      <c r="M126" s="62">
        <f>'CH4 1990-2019'!L40</f>
        <v>6.4652955829000002E-4</v>
      </c>
      <c r="N126" s="62">
        <f>'CH4 1990-2019'!M40</f>
        <v>1.6236155824799999E-3</v>
      </c>
      <c r="O126" s="62">
        <f>'CH4 1990-2019'!N40</f>
        <v>1.43856E-2</v>
      </c>
      <c r="P126" s="62">
        <f>'CH4 1990-2019'!O40</f>
        <v>1.44585E-3</v>
      </c>
      <c r="Q126" s="62">
        <f>'CH4 1990-2019'!P40</f>
        <v>7.2822857142899999E-3</v>
      </c>
      <c r="R126" s="62">
        <f>'CH4 1990-2019'!Q40</f>
        <v>1.584E-2</v>
      </c>
      <c r="S126" s="62">
        <f>'CH4 1990-2019'!R40</f>
        <v>3.3364285714299999E-3</v>
      </c>
      <c r="T126" s="62">
        <f>'CH4 1990-2019'!S40</f>
        <v>6.1714285714000003E-4</v>
      </c>
      <c r="U126" s="62"/>
      <c r="V126" s="62">
        <f>'CH4 1990-2019'!U40</f>
        <v>5.9086799999000001E-4</v>
      </c>
      <c r="W126" s="62">
        <f>'CH4 1990-2019'!V40</f>
        <v>3.3367679999000001E-4</v>
      </c>
      <c r="X126" s="62">
        <f>'CH4 1990-2019'!W40</f>
        <v>5.7586168420000004E-4</v>
      </c>
      <c r="Y126" s="62"/>
      <c r="Z126" s="62">
        <f>'CH4 1990-2019'!Y40</f>
        <v>8.5500000000000005E-5</v>
      </c>
      <c r="AA126" s="62"/>
      <c r="AB126" s="62"/>
      <c r="AC126" s="62"/>
      <c r="AD126" s="62"/>
      <c r="AE126" s="62"/>
      <c r="AF126" s="62">
        <f>'CH4 1990-2019'!AE40</f>
        <v>5.6842105263000002E-4</v>
      </c>
      <c r="AG126" s="62">
        <f>'CH4 1990-2019'!AF40</f>
        <v>5.4000000000000001E-4</v>
      </c>
    </row>
    <row r="127" spans="1:33" x14ac:dyDescent="0.25">
      <c r="B127" s="7" t="str">
        <f>'CH4 1990-2019'!A41</f>
        <v>C.  Grassland</v>
      </c>
      <c r="C127" s="62">
        <f>'CH4 1990-2019'!B41</f>
        <v>10.78502860243313</v>
      </c>
      <c r="D127" s="62">
        <f>'CH4 1990-2019'!C41</f>
        <v>10.78502860243313</v>
      </c>
      <c r="E127" s="62">
        <f>'CH4 1990-2019'!D41</f>
        <v>10.86378850763408</v>
      </c>
      <c r="F127" s="62">
        <f>'CH4 1990-2019'!E41</f>
        <v>10.358885488576</v>
      </c>
      <c r="G127" s="62">
        <f>'CH4 1990-2019'!F41</f>
        <v>11.45147412287367</v>
      </c>
      <c r="H127" s="62">
        <f>'CH4 1990-2019'!G41</f>
        <v>10.152628513209221</v>
      </c>
      <c r="I127" s="62">
        <f>'CH4 1990-2019'!H41</f>
        <v>9.3357624969177202</v>
      </c>
      <c r="J127" s="62">
        <f>'CH4 1990-2019'!I41</f>
        <v>10.001751813841951</v>
      </c>
      <c r="K127" s="62">
        <f>'CH4 1990-2019'!J41</f>
        <v>9.1270804046194591</v>
      </c>
      <c r="L127" s="62">
        <f>'CH4 1990-2019'!K41</f>
        <v>9.3671128698582002</v>
      </c>
      <c r="M127" s="62">
        <f>'CH4 1990-2019'!L41</f>
        <v>8.7799853759375601</v>
      </c>
      <c r="N127" s="62">
        <f>'CH4 1990-2019'!M41</f>
        <v>9.7099900854158303</v>
      </c>
      <c r="O127" s="62">
        <f>'CH4 1990-2019'!N41</f>
        <v>11.248692926770479</v>
      </c>
      <c r="P127" s="62">
        <f>'CH4 1990-2019'!O41</f>
        <v>9.1569097678664999</v>
      </c>
      <c r="Q127" s="62">
        <f>'CH4 1990-2019'!P41</f>
        <v>10.132112229521599</v>
      </c>
      <c r="R127" s="62">
        <f>'CH4 1990-2019'!Q41</f>
        <v>9.8933362891110992</v>
      </c>
      <c r="S127" s="62">
        <f>'CH4 1990-2019'!R41</f>
        <v>9.7834229366009104</v>
      </c>
      <c r="T127" s="62">
        <f>'CH4 1990-2019'!S41</f>
        <v>9.6166816847308993</v>
      </c>
      <c r="U127" s="62">
        <f>'CH4 1990-2019'!T41</f>
        <v>9.6798903632807303</v>
      </c>
      <c r="V127" s="62">
        <f>'CH4 1990-2019'!U41</f>
        <v>9.4376973477084096</v>
      </c>
      <c r="W127" s="62">
        <f>'CH4 1990-2019'!V41</f>
        <v>9.5254664576399009</v>
      </c>
      <c r="X127" s="62">
        <f>'CH4 1990-2019'!W41</f>
        <v>12.32293248775604</v>
      </c>
      <c r="Y127" s="62">
        <f>'CH4 1990-2019'!X41</f>
        <v>10.06338745117216</v>
      </c>
      <c r="Z127" s="62">
        <f>'CH4 1990-2019'!Y41</f>
        <v>9.6873999623966291</v>
      </c>
      <c r="AA127" s="62">
        <f>'CH4 1990-2019'!Z41</f>
        <v>10.01421793351988</v>
      </c>
      <c r="AB127" s="62">
        <f>'CH4 1990-2019'!AA41</f>
        <v>11.018257173315209</v>
      </c>
      <c r="AC127" s="62">
        <f>'CH4 1990-2019'!AB41</f>
        <v>9.7691643672459794</v>
      </c>
      <c r="AD127" s="62">
        <f>'CH4 1990-2019'!AC41</f>
        <v>9.7388435722771192</v>
      </c>
      <c r="AE127" s="62">
        <f>'CH4 1990-2019'!AD41</f>
        <v>11.20109594760496</v>
      </c>
      <c r="AF127" s="62">
        <f>'CH4 1990-2019'!AE41</f>
        <v>10.29085908167167</v>
      </c>
      <c r="AG127" s="62">
        <f>'CH4 1990-2019'!AF41</f>
        <v>10.13462358940096</v>
      </c>
    </row>
    <row r="128" spans="1:33" x14ac:dyDescent="0.25">
      <c r="B128" s="7" t="str">
        <f>'CH4 1990-2019'!A42</f>
        <v>D.  Wetlands</v>
      </c>
      <c r="C128" s="62">
        <f>'CH4 1990-2019'!B42</f>
        <v>5.2567425039572404</v>
      </c>
      <c r="D128" s="62">
        <f>'CH4 1990-2019'!C42</f>
        <v>5.2567425039572404</v>
      </c>
      <c r="E128" s="62">
        <f>'CH4 1990-2019'!D42</f>
        <v>4.26934846358267</v>
      </c>
      <c r="F128" s="62">
        <f>'CH4 1990-2019'!E42</f>
        <v>3.6370601057918401</v>
      </c>
      <c r="G128" s="62">
        <f>'CH4 1990-2019'!F42</f>
        <v>4.7941265962402504</v>
      </c>
      <c r="H128" s="62">
        <f>'CH4 1990-2019'!G42</f>
        <v>5.0709922113625998</v>
      </c>
      <c r="I128" s="62">
        <f>'CH4 1990-2019'!H42</f>
        <v>6.0787628943156697</v>
      </c>
      <c r="J128" s="62">
        <f>'CH4 1990-2019'!I42</f>
        <v>6.4556701072873297</v>
      </c>
      <c r="K128" s="62">
        <f>'CH4 1990-2019'!J42</f>
        <v>4.7410498381316204</v>
      </c>
      <c r="L128" s="62">
        <f>'CH4 1990-2019'!K42</f>
        <v>3.7254913051159901</v>
      </c>
      <c r="M128" s="62">
        <f>'CH4 1990-2019'!L42</f>
        <v>3.4231684336431298</v>
      </c>
      <c r="N128" s="62">
        <f>'CH4 1990-2019'!M42</f>
        <v>4.8258861926128001</v>
      </c>
      <c r="O128" s="62">
        <f>'CH4 1990-2019'!N42</f>
        <v>11.051821129891639</v>
      </c>
      <c r="P128" s="62">
        <f>'CH4 1990-2019'!O42</f>
        <v>3.2321159517954001</v>
      </c>
      <c r="Q128" s="62">
        <f>'CH4 1990-2019'!P42</f>
        <v>9.4660147985373992</v>
      </c>
      <c r="R128" s="62">
        <f>'CH4 1990-2019'!Q42</f>
        <v>5.4167916157571598</v>
      </c>
      <c r="S128" s="62">
        <f>'CH4 1990-2019'!R42</f>
        <v>5.6310498843305998</v>
      </c>
      <c r="T128" s="62">
        <f>'CH4 1990-2019'!S42</f>
        <v>4.6513303501788004</v>
      </c>
      <c r="U128" s="62">
        <f>'CH4 1990-2019'!T42</f>
        <v>3.70425193241564</v>
      </c>
      <c r="V128" s="62">
        <f>'CH4 1990-2019'!U42</f>
        <v>3.1351773124220901</v>
      </c>
      <c r="W128" s="62">
        <f>'CH4 1990-2019'!V42</f>
        <v>3.10865677207115</v>
      </c>
      <c r="X128" s="62">
        <f>'CH4 1990-2019'!W42</f>
        <v>11.39957113862865</v>
      </c>
      <c r="Y128" s="62">
        <f>'CH4 1990-2019'!X42</f>
        <v>5.4882312445901498</v>
      </c>
      <c r="Z128" s="62">
        <f>'CH4 1990-2019'!Y42</f>
        <v>2.5668552100186899</v>
      </c>
      <c r="AA128" s="62">
        <f>'CH4 1990-2019'!Z42</f>
        <v>4.9809699445695799</v>
      </c>
      <c r="AB128" s="62">
        <f>'CH4 1990-2019'!AA42</f>
        <v>10.169429977489409</v>
      </c>
      <c r="AC128" s="62">
        <f>'CH4 1990-2019'!AB42</f>
        <v>4.9400011971867999</v>
      </c>
      <c r="AD128" s="62">
        <f>'CH4 1990-2019'!AC42</f>
        <v>3.8182723257308799</v>
      </c>
      <c r="AE128" s="62">
        <f>'CH4 1990-2019'!AD42</f>
        <v>11.190491111248789</v>
      </c>
      <c r="AF128" s="62">
        <f>'CH4 1990-2019'!AE42</f>
        <v>4.8480219892184602</v>
      </c>
      <c r="AG128" s="62">
        <f>'CH4 1990-2019'!AF42</f>
        <v>3.99718639141462</v>
      </c>
    </row>
    <row r="129" spans="1:33" x14ac:dyDescent="0.25">
      <c r="B129" s="7" t="str">
        <f>'CH4 1990-2019'!A43</f>
        <v xml:space="preserve">E.  Settlements </v>
      </c>
    </row>
    <row r="130" spans="1:33" x14ac:dyDescent="0.25">
      <c r="B130" s="7" t="str">
        <f>'CH4 1990-2019'!A44</f>
        <v>F.  Other land</v>
      </c>
    </row>
    <row r="131" spans="1:33" x14ac:dyDescent="0.25">
      <c r="B131" s="7" t="str">
        <f>'CH4 1990-2019'!A45</f>
        <v>G.  Harvested wood products</v>
      </c>
    </row>
    <row r="132" spans="1:33" x14ac:dyDescent="0.25">
      <c r="C132" s="66"/>
    </row>
    <row r="133" spans="1:33" x14ac:dyDescent="0.25">
      <c r="A133" s="7">
        <v>265</v>
      </c>
      <c r="B133" s="7" t="s">
        <v>4</v>
      </c>
      <c r="C133" s="66"/>
    </row>
    <row r="134" spans="1:33" x14ac:dyDescent="0.25">
      <c r="B134" s="7" t="str">
        <f>'N2O 1990-2019'!A38</f>
        <v>4. Land use, land-use change and forestry</v>
      </c>
      <c r="C134" s="57">
        <f>'N2O 1990-2019'!B38</f>
        <v>0.48919259752677002</v>
      </c>
      <c r="D134" s="57">
        <f>'N2O 1990-2019'!C38</f>
        <v>0.48919259752677002</v>
      </c>
      <c r="E134" s="57">
        <f>'N2O 1990-2019'!D38</f>
        <v>0.55598540134546004</v>
      </c>
      <c r="F134" s="57">
        <f>'N2O 1990-2019'!E38</f>
        <v>0.43636105611525</v>
      </c>
      <c r="G134" s="57">
        <f>'N2O 1990-2019'!F38</f>
        <v>0.48303772337999001</v>
      </c>
      <c r="H134" s="57">
        <f>'N2O 1990-2019'!G38</f>
        <v>0.51521915264050999</v>
      </c>
      <c r="I134" s="57">
        <f>'N2O 1990-2019'!H38</f>
        <v>0.64828971587631001</v>
      </c>
      <c r="J134" s="57">
        <f>'N2O 1990-2019'!I38</f>
        <v>0.62721013398240999</v>
      </c>
      <c r="K134" s="57">
        <f>'N2O 1990-2019'!J38</f>
        <v>0.68029195708263002</v>
      </c>
      <c r="L134" s="57">
        <f>'N2O 1990-2019'!K38</f>
        <v>0.64472069835135004</v>
      </c>
      <c r="M134" s="57">
        <f>'N2O 1990-2019'!L38</f>
        <v>0.61968637318308994</v>
      </c>
      <c r="N134" s="57">
        <f>'N2O 1990-2019'!M38</f>
        <v>0.68416136768864</v>
      </c>
      <c r="O134" s="57">
        <f>'N2O 1990-2019'!N38</f>
        <v>0.92553367839824996</v>
      </c>
      <c r="P134" s="57">
        <f>'N2O 1990-2019'!O38</f>
        <v>0.87664564943073997</v>
      </c>
      <c r="Q134" s="57">
        <f>'N2O 1990-2019'!P38</f>
        <v>1.05113247706597</v>
      </c>
      <c r="R134" s="57">
        <f>'N2O 1990-2019'!Q38</f>
        <v>0.91477460745572003</v>
      </c>
      <c r="S134" s="57">
        <f>'N2O 1990-2019'!R38</f>
        <v>0.96345478687859998</v>
      </c>
      <c r="T134" s="57">
        <f>'N2O 1990-2019'!S38</f>
        <v>0.99601592278378004</v>
      </c>
      <c r="U134" s="57">
        <f>'N2O 1990-2019'!T38</f>
        <v>1.00279179608326</v>
      </c>
      <c r="V134" s="57">
        <f>'N2O 1990-2019'!U38</f>
        <v>1.0957560130130599</v>
      </c>
      <c r="W134" s="57">
        <f>'N2O 1990-2019'!V38</f>
        <v>1.18671071372096</v>
      </c>
      <c r="X134" s="57">
        <f>'N2O 1990-2019'!W38</f>
        <v>1.5572846178987401</v>
      </c>
      <c r="Y134" s="57">
        <f>'N2O 1990-2019'!X38</f>
        <v>1.37273613200448</v>
      </c>
      <c r="Z134" s="57">
        <f>'N2O 1990-2019'!Y38</f>
        <v>1.3283912208080899</v>
      </c>
      <c r="AA134" s="57">
        <f>'N2O 1990-2019'!Z38</f>
        <v>1.44355374431768</v>
      </c>
      <c r="AB134" s="57">
        <f>'N2O 1990-2019'!AA38</f>
        <v>1.57818607284956</v>
      </c>
      <c r="AC134" s="57">
        <f>'N2O 1990-2019'!AB38</f>
        <v>1.4245449802977399</v>
      </c>
      <c r="AD134" s="57">
        <f>'N2O 1990-2019'!AC38</f>
        <v>1.3367869632848399</v>
      </c>
      <c r="AE134" s="57">
        <f>'N2O 1990-2019'!AD38</f>
        <v>1.5503172662292899</v>
      </c>
      <c r="AF134" s="57">
        <f>'N2O 1990-2019'!AE38</f>
        <v>1.3603319710575399</v>
      </c>
      <c r="AG134" s="57">
        <f>'N2O 1990-2019'!AF38</f>
        <v>1.33450291237642</v>
      </c>
    </row>
    <row r="135" spans="1:33" x14ac:dyDescent="0.25">
      <c r="B135" s="7" t="str">
        <f>'N2O 1990-2019'!A39</f>
        <v>A.  Forest land</v>
      </c>
      <c r="C135" s="57">
        <f>'N2O 1990-2019'!B39</f>
        <v>0.31160909107030998</v>
      </c>
      <c r="D135" s="57">
        <f>'N2O 1990-2019'!C39</f>
        <v>0.31160909107030998</v>
      </c>
      <c r="E135" s="57">
        <f>'N2O 1990-2019'!D39</f>
        <v>0.32935618049687998</v>
      </c>
      <c r="F135" s="57">
        <f>'N2O 1990-2019'!E39</f>
        <v>0.34228658795546002</v>
      </c>
      <c r="G135" s="57">
        <f>'N2O 1990-2019'!F39</f>
        <v>0.35709455009504998</v>
      </c>
      <c r="H135" s="57">
        <f>'N2O 1990-2019'!G39</f>
        <v>0.37037264311916002</v>
      </c>
      <c r="I135" s="57">
        <f>'N2O 1990-2019'!H39</f>
        <v>0.39923905583870001</v>
      </c>
      <c r="J135" s="57">
        <f>'N2O 1990-2019'!I39</f>
        <v>0.41459833068072</v>
      </c>
      <c r="K135" s="57">
        <f>'N2O 1990-2019'!J39</f>
        <v>0.41633199185922998</v>
      </c>
      <c r="L135" s="57">
        <f>'N2O 1990-2019'!K39</f>
        <v>0.42774369635344001</v>
      </c>
      <c r="M135" s="57">
        <f>'N2O 1990-2019'!L39</f>
        <v>0.43932952359490002</v>
      </c>
      <c r="N135" s="57">
        <f>'N2O 1990-2019'!M39</f>
        <v>0.45583675747955998</v>
      </c>
      <c r="O135" s="57">
        <f>'N2O 1990-2019'!N39</f>
        <v>0.47608059085517002</v>
      </c>
      <c r="P135" s="57">
        <f>'N2O 1990-2019'!O39</f>
        <v>0.48531546193521002</v>
      </c>
      <c r="Q135" s="57">
        <f>'N2O 1990-2019'!P39</f>
        <v>0.49818584603643001</v>
      </c>
      <c r="R135" s="57">
        <f>'N2O 1990-2019'!Q39</f>
        <v>0.50470616669923996</v>
      </c>
      <c r="S135" s="57">
        <f>'N2O 1990-2019'!R39</f>
        <v>0.51128034659840005</v>
      </c>
      <c r="T135" s="57">
        <f>'N2O 1990-2019'!S39</f>
        <v>0.52577018156144995</v>
      </c>
      <c r="U135" s="57">
        <f>'N2O 1990-2019'!T39</f>
        <v>0.53628350121857005</v>
      </c>
      <c r="V135" s="57">
        <f>'N2O 1990-2019'!U39</f>
        <v>0.54410039463382998</v>
      </c>
      <c r="W135" s="57">
        <f>'N2O 1990-2019'!V39</f>
        <v>0.55112230679027996</v>
      </c>
      <c r="X135" s="57">
        <f>'N2O 1990-2019'!W39</f>
        <v>0.56844215387243002</v>
      </c>
      <c r="Y135" s="57">
        <f>'N2O 1990-2019'!X39</f>
        <v>0.57511869843115004</v>
      </c>
      <c r="Z135" s="57">
        <f>'N2O 1990-2019'!Y39</f>
        <v>0.57261821071003005</v>
      </c>
      <c r="AA135" s="57">
        <f>'N2O 1990-2019'!Z39</f>
        <v>0.57488810460766004</v>
      </c>
      <c r="AB135" s="57">
        <f>'N2O 1990-2019'!AA39</f>
        <v>0.57640377417773003</v>
      </c>
      <c r="AC135" s="57">
        <f>'N2O 1990-2019'!AB39</f>
        <v>0.58497255990295005</v>
      </c>
      <c r="AD135" s="57">
        <f>'N2O 1990-2019'!AC39</f>
        <v>0.58935256092609001</v>
      </c>
      <c r="AE135" s="57">
        <f>'N2O 1990-2019'!AD39</f>
        <v>0.60929550778917996</v>
      </c>
      <c r="AF135" s="57">
        <f>'N2O 1990-2019'!AE39</f>
        <v>0.60778602037925999</v>
      </c>
      <c r="AG135" s="57">
        <f>'N2O 1990-2019'!AF39</f>
        <v>0.61114526534596003</v>
      </c>
    </row>
    <row r="136" spans="1:33" x14ac:dyDescent="0.25">
      <c r="B136" s="7" t="str">
        <f>'N2O 1990-2019'!A40</f>
        <v>B.  Cropland</v>
      </c>
      <c r="C136" s="57">
        <f>'N2O 1990-2019'!B40</f>
        <v>4.9025340780000002E-5</v>
      </c>
      <c r="D136" s="57">
        <f>'N2O 1990-2019'!C40</f>
        <v>4.9025340780000002E-5</v>
      </c>
      <c r="E136" s="57">
        <f>'N2O 1990-2019'!D40</f>
        <v>3.1507288420000002E-5</v>
      </c>
      <c r="F136" s="57">
        <f>'N2O 1990-2019'!E40</f>
        <v>2.025288499E-5</v>
      </c>
      <c r="G136" s="57">
        <f>'N2O 1990-2019'!F40</f>
        <v>4.0833445790000001E-5</v>
      </c>
      <c r="H136" s="57">
        <f>'N2O 1990-2019'!G40</f>
        <v>4.6882845159999998E-5</v>
      </c>
      <c r="I136" s="57">
        <f>'N2O 1990-2019'!H40</f>
        <v>6.4022810059999999E-5</v>
      </c>
      <c r="J136" s="57">
        <f>'N2O 1990-2019'!I40</f>
        <v>7.1206471820000003E-5</v>
      </c>
      <c r="K136" s="57">
        <f>'N2O 1990-2019'!J40</f>
        <v>3.8943008480000003E-5</v>
      </c>
      <c r="L136" s="57">
        <f>'N2O 1990-2019'!K40</f>
        <v>2.054275205E-5</v>
      </c>
      <c r="M136" s="57">
        <f>'N2O 1990-2019'!L40</f>
        <v>1.6761877439999999E-5</v>
      </c>
      <c r="N136" s="57">
        <f>'N2O 1990-2019'!M40</f>
        <v>4.2093737320000002E-5</v>
      </c>
      <c r="O136" s="57">
        <f>'N2O 1990-2019'!N40</f>
        <v>3.7295999999999998E-4</v>
      </c>
      <c r="P136" s="57">
        <f>'N2O 1990-2019'!O40</f>
        <v>3.7484999999999998E-5</v>
      </c>
      <c r="Q136" s="57">
        <f>'N2O 1990-2019'!P40</f>
        <v>1.8880000000000001E-4</v>
      </c>
      <c r="R136" s="57">
        <f>'N2O 1990-2019'!Q40</f>
        <v>4.1066666666999998E-4</v>
      </c>
      <c r="S136" s="57">
        <f>'N2O 1990-2019'!R40</f>
        <v>8.6500000000000002E-5</v>
      </c>
      <c r="T136" s="57">
        <f>'N2O 1990-2019'!S40</f>
        <v>1.5999999999999999E-5</v>
      </c>
      <c r="U136" s="57"/>
      <c r="V136" s="57">
        <f>'N2O 1990-2019'!U40</f>
        <v>1.53188E-5</v>
      </c>
      <c r="W136" s="57">
        <f>'N2O 1990-2019'!V40</f>
        <v>8.6508800000000008E-6</v>
      </c>
      <c r="X136" s="57">
        <f>'N2O 1990-2019'!W40</f>
        <v>1.4929747369999999E-5</v>
      </c>
      <c r="Y136" s="57"/>
      <c r="Z136" s="57">
        <f>'N2O 1990-2019'!Y40</f>
        <v>2.2166666699999999E-6</v>
      </c>
      <c r="AA136" s="57"/>
      <c r="AB136" s="57"/>
      <c r="AC136" s="57"/>
      <c r="AD136" s="57"/>
      <c r="AE136" s="57"/>
      <c r="AF136" s="57">
        <f>'N2O 1990-2019'!AE40</f>
        <v>1.4736842110000001E-5</v>
      </c>
      <c r="AG136" s="57">
        <f>'N2O 1990-2019'!AF40</f>
        <v>1.4E-5</v>
      </c>
    </row>
    <row r="137" spans="1:33" x14ac:dyDescent="0.25">
      <c r="B137" s="7" t="str">
        <f>'N2O 1990-2019'!A41</f>
        <v>C.  Grassland</v>
      </c>
      <c r="C137" s="57">
        <f>'N2O 1990-2019'!B41</f>
        <v>5.1871604904829997E-2</v>
      </c>
      <c r="D137" s="57">
        <f>'N2O 1990-2019'!C41</f>
        <v>5.1871604904829997E-2</v>
      </c>
      <c r="E137" s="57">
        <f>'N2O 1990-2019'!D41</f>
        <v>0.12663388036984</v>
      </c>
      <c r="F137" s="57">
        <f>'N2O 1990-2019'!E41</f>
        <v>4.93215519622E-3</v>
      </c>
      <c r="G137" s="57">
        <f>'N2O 1990-2019'!F41</f>
        <v>9.8354631767900002E-3</v>
      </c>
      <c r="H137" s="57">
        <f>'N2O 1990-2019'!G41</f>
        <v>1.132187398735E-2</v>
      </c>
      <c r="I137" s="57">
        <f>'N2O 1990-2019'!H41</f>
        <v>8.0690065130229999E-2</v>
      </c>
      <c r="J137" s="57">
        <f>'N2O 1990-2019'!I41</f>
        <v>2.287042310466E-2</v>
      </c>
      <c r="K137" s="57">
        <f>'N2O 1990-2019'!J41</f>
        <v>0.10660912236087</v>
      </c>
      <c r="L137" s="57">
        <f>'N2O 1990-2019'!K41</f>
        <v>7.3473558409849996E-2</v>
      </c>
      <c r="M137" s="57">
        <f>'N2O 1990-2019'!L41</f>
        <v>3.1831568945069999E-2</v>
      </c>
      <c r="N137" s="57">
        <f>'N2O 1990-2019'!M41</f>
        <v>2.791046106532E-2</v>
      </c>
      <c r="O137" s="57">
        <f>'N2O 1990-2019'!N41</f>
        <v>4.901792119152E-2</v>
      </c>
      <c r="P137" s="57">
        <f>'N2O 1990-2019'!O41</f>
        <v>0.16807830976532001</v>
      </c>
      <c r="Q137" s="57">
        <f>'N2O 1990-2019'!P41</f>
        <v>0.12984333856281999</v>
      </c>
      <c r="R137" s="57">
        <f>'N2O 1990-2019'!Q41</f>
        <v>5.3001334739269997E-2</v>
      </c>
      <c r="S137" s="57">
        <f>'N2O 1990-2019'!R41</f>
        <v>5.1422439131390003E-2</v>
      </c>
      <c r="T137" s="57">
        <f>'N2O 1990-2019'!S41</f>
        <v>4.6748331991369997E-2</v>
      </c>
      <c r="U137" s="57">
        <f>'N2O 1990-2019'!T41</f>
        <v>6.5641456473269993E-2</v>
      </c>
      <c r="V137" s="57">
        <f>'N2O 1990-2019'!U41</f>
        <v>9.3873856746289994E-2</v>
      </c>
      <c r="W137" s="57">
        <f>'N2O 1990-2019'!V41</f>
        <v>0.12440252488233</v>
      </c>
      <c r="X137" s="57">
        <f>'N2O 1990-2019'!W41</f>
        <v>0.26707191024686999</v>
      </c>
      <c r="Y137" s="57">
        <f>'N2O 1990-2019'!X41</f>
        <v>0.27196444116370999</v>
      </c>
      <c r="Z137" s="57">
        <f>'N2O 1990-2019'!Y41</f>
        <v>0.30836623054360002</v>
      </c>
      <c r="AA137" s="57">
        <f>'N2O 1990-2019'!Z41</f>
        <v>0.36498551224010001</v>
      </c>
      <c r="AB137" s="57">
        <f>'N2O 1990-2019'!AA41</f>
        <v>0.37493815870656</v>
      </c>
      <c r="AC137" s="57">
        <f>'N2O 1990-2019'!AB41</f>
        <v>0.35438225538342</v>
      </c>
      <c r="AD137" s="57">
        <f>'N2O 1990-2019'!AC41</f>
        <v>0.29936497786723998</v>
      </c>
      <c r="AE137" s="57">
        <f>'N2O 1990-2019'!AD41</f>
        <v>0.30335457003448002</v>
      </c>
      <c r="AF137" s="57">
        <f>'N2O 1990-2019'!AE41</f>
        <v>0.27418004470305002</v>
      </c>
      <c r="AG137" s="57">
        <f>'N2O 1990-2019'!AF41</f>
        <v>0.25671673877350998</v>
      </c>
    </row>
    <row r="138" spans="1:33" x14ac:dyDescent="0.25">
      <c r="B138" s="7" t="str">
        <f>'N2O 1990-2019'!A42</f>
        <v>D.  Wetlands</v>
      </c>
      <c r="C138" s="57">
        <f>'N2O 1990-2019'!B42</f>
        <v>0.10429048088333</v>
      </c>
      <c r="D138" s="57">
        <f>'N2O 1990-2019'!C42</f>
        <v>0.10429048088333</v>
      </c>
      <c r="E138" s="57">
        <f>'N2O 1990-2019'!D42</f>
        <v>7.9793633903379999E-2</v>
      </c>
      <c r="F138" s="57">
        <f>'N2O 1990-2019'!E42</f>
        <v>6.4085240189439993E-2</v>
      </c>
      <c r="G138" s="57">
        <f>'N2O 1990-2019'!F42</f>
        <v>9.2822439268190005E-2</v>
      </c>
      <c r="H138" s="57">
        <f>'N2O 1990-2019'!G42</f>
        <v>0.10036307339254</v>
      </c>
      <c r="I138" s="57">
        <f>'N2O 1990-2019'!H42</f>
        <v>0.12492864530394</v>
      </c>
      <c r="J138" s="57">
        <f>'N2O 1990-2019'!I42</f>
        <v>0.13457290436224001</v>
      </c>
      <c r="K138" s="57">
        <f>'N2O 1990-2019'!J42</f>
        <v>9.0945283935790003E-2</v>
      </c>
      <c r="L138" s="57">
        <f>'N2O 1990-2019'!K42</f>
        <v>6.5523771467030006E-2</v>
      </c>
      <c r="M138" s="57">
        <f>'N2O 1990-2019'!L42</f>
        <v>5.8958096190400003E-2</v>
      </c>
      <c r="N138" s="57">
        <f>'N2O 1990-2019'!M42</f>
        <v>9.3821517353299994E-2</v>
      </c>
      <c r="O138" s="57">
        <f>'N2O 1990-2019'!N42</f>
        <v>0.25104363885425002</v>
      </c>
      <c r="P138" s="57">
        <f>'N2O 1990-2019'!O42</f>
        <v>5.0092021418420001E-2</v>
      </c>
      <c r="Q138" s="57">
        <f>'N2O 1990-2019'!P42</f>
        <v>0.20808959500547999</v>
      </c>
      <c r="R138" s="57">
        <f>'N2O 1990-2019'!Q42</f>
        <v>0.10923036695268</v>
      </c>
      <c r="S138" s="57">
        <f>'N2O 1990-2019'!R42</f>
        <v>0.11677698713284</v>
      </c>
      <c r="T138" s="57">
        <f>'N2O 1990-2019'!S42</f>
        <v>9.2313595735999995E-2</v>
      </c>
      <c r="U138" s="57">
        <f>'N2O 1990-2019'!T42</f>
        <v>6.7148045610019996E-2</v>
      </c>
      <c r="V138" s="57">
        <f>'N2O 1990-2019'!U42</f>
        <v>5.3102268293590001E-2</v>
      </c>
      <c r="W138" s="57">
        <f>'N2O 1990-2019'!V42</f>
        <v>5.2849230201539997E-2</v>
      </c>
      <c r="X138" s="57">
        <f>'N2O 1990-2019'!W42</f>
        <v>0.26170491130850998</v>
      </c>
      <c r="Y138" s="57">
        <f>'N2O 1990-2019'!X42</f>
        <v>0.11154229807920001</v>
      </c>
      <c r="Z138" s="57">
        <f>'N2O 1990-2019'!Y42</f>
        <v>3.699325888643E-2</v>
      </c>
      <c r="AA138" s="57">
        <f>'N2O 1990-2019'!Z42</f>
        <v>9.1214235317010006E-2</v>
      </c>
      <c r="AB138" s="57">
        <f>'N2O 1990-2019'!AA42</f>
        <v>0.22100153646453</v>
      </c>
      <c r="AC138" s="57">
        <f>'N2O 1990-2019'!AB42</f>
        <v>8.2665981804909999E-2</v>
      </c>
      <c r="AD138" s="57">
        <f>'N2O 1990-2019'!AC42</f>
        <v>5.2397172567239997E-2</v>
      </c>
      <c r="AE138" s="57">
        <f>'N2O 1990-2019'!AD42</f>
        <v>0.24032691972219999</v>
      </c>
      <c r="AF138" s="57">
        <f>'N2O 1990-2019'!AE42</f>
        <v>8.4034011703309999E-2</v>
      </c>
      <c r="AG138" s="57">
        <f>'N2O 1990-2019'!AF42</f>
        <v>6.4753424667660001E-2</v>
      </c>
    </row>
    <row r="139" spans="1:33" x14ac:dyDescent="0.25">
      <c r="B139" s="7" t="str">
        <f>'N2O 1990-2019'!A43</f>
        <v xml:space="preserve">E.  Settlements </v>
      </c>
      <c r="C139" s="57">
        <f>'N2O 1990-2019'!B43</f>
        <v>2.1118871518000001E-2</v>
      </c>
      <c r="D139" s="57">
        <f>'N2O 1990-2019'!C43</f>
        <v>2.1118871518000001E-2</v>
      </c>
      <c r="E139" s="57">
        <f>'N2O 1990-2019'!D43</f>
        <v>1.966315166789E-2</v>
      </c>
      <c r="F139" s="57">
        <f>'N2O 1990-2019'!E43</f>
        <v>2.4276248460569999E-2</v>
      </c>
      <c r="G139" s="57">
        <f>'N2O 1990-2019'!F43</f>
        <v>2.2230342156070001E-2</v>
      </c>
      <c r="H139" s="57">
        <f>'N2O 1990-2019'!G43</f>
        <v>3.1847060248679997E-2</v>
      </c>
      <c r="I139" s="57">
        <f>'N2O 1990-2019'!H43</f>
        <v>3.4425450602899997E-2</v>
      </c>
      <c r="J139" s="57">
        <f>'N2O 1990-2019'!I43</f>
        <v>3.8479936029639998E-2</v>
      </c>
      <c r="K139" s="57">
        <f>'N2O 1990-2019'!J43</f>
        <v>4.2074425442069997E-2</v>
      </c>
      <c r="L139" s="57">
        <f>'N2O 1990-2019'!K43</f>
        <v>4.5992081749929997E-2</v>
      </c>
      <c r="M139" s="57">
        <f>'N2O 1990-2019'!L43</f>
        <v>4.9908517813380002E-2</v>
      </c>
      <c r="N139" s="57">
        <f>'N2O 1990-2019'!M43</f>
        <v>6.0293966624569997E-2</v>
      </c>
      <c r="O139" s="57">
        <f>'N2O 1990-2019'!N43</f>
        <v>9.6147329402070006E-2</v>
      </c>
      <c r="P139" s="57">
        <f>'N2O 1990-2019'!O43</f>
        <v>0.11363646654989</v>
      </c>
      <c r="Q139" s="57">
        <f>'N2O 1990-2019'!P43</f>
        <v>0.14872432603267</v>
      </c>
      <c r="R139" s="57">
        <f>'N2O 1990-2019'!Q43</f>
        <v>0.17471083430261999</v>
      </c>
      <c r="S139" s="57">
        <f>'N2O 1990-2019'!R43</f>
        <v>0.20455860925406999</v>
      </c>
      <c r="T139" s="57">
        <f>'N2O 1990-2019'!S43</f>
        <v>0.20574267063782001</v>
      </c>
      <c r="U139" s="57">
        <f>'N2O 1990-2019'!T43</f>
        <v>0.20829364992426</v>
      </c>
      <c r="V139" s="57">
        <f>'N2O 1990-2019'!U43</f>
        <v>0.23314379358696999</v>
      </c>
      <c r="W139" s="57">
        <f>'N2O 1990-2019'!V43</f>
        <v>0.28680762001443</v>
      </c>
      <c r="X139" s="57">
        <f>'N2O 1990-2019'!W43</f>
        <v>0.28878385558070002</v>
      </c>
      <c r="Y139" s="57">
        <f>'N2O 1990-2019'!X43</f>
        <v>0.24309736099709001</v>
      </c>
      <c r="Z139" s="57">
        <f>'N2O 1990-2019'!Y43</f>
        <v>0.23965149447754999</v>
      </c>
      <c r="AA139" s="57">
        <f>'N2O 1990-2019'!Z43</f>
        <v>0.24195960643862</v>
      </c>
      <c r="AB139" s="57">
        <f>'N2O 1990-2019'!AA43</f>
        <v>0.23533631778645001</v>
      </c>
      <c r="AC139" s="57">
        <f>'N2O 1990-2019'!AB43</f>
        <v>0.23994627844456001</v>
      </c>
      <c r="AD139" s="57">
        <f>'N2O 1990-2019'!AC43</f>
        <v>0.24076920430522</v>
      </c>
      <c r="AE139" s="57">
        <f>'N2O 1990-2019'!AD43</f>
        <v>0.25011207820724002</v>
      </c>
      <c r="AF139" s="57">
        <f>'N2O 1990-2019'!AE43</f>
        <v>0.25476382442980999</v>
      </c>
      <c r="AG139" s="57">
        <f>'N2O 1990-2019'!AF43</f>
        <v>0.26997656930357999</v>
      </c>
    </row>
    <row r="140" spans="1:33" x14ac:dyDescent="0.25">
      <c r="B140" s="7" t="str">
        <f>'N2O 1990-2019'!A44</f>
        <v>F.  Other land</v>
      </c>
      <c r="C140" s="57">
        <f>'N2O 1990-2019'!B44</f>
        <v>2.5352380951999999E-4</v>
      </c>
      <c r="D140" s="57">
        <f>'N2O 1990-2019'!C44</f>
        <v>2.5352380951999999E-4</v>
      </c>
      <c r="E140" s="57">
        <f>'N2O 1990-2019'!D44</f>
        <v>5.0704761905000001E-4</v>
      </c>
      <c r="F140" s="57">
        <f>'N2O 1990-2019'!E44</f>
        <v>7.6057142857000005E-4</v>
      </c>
      <c r="G140" s="57">
        <f>'N2O 1990-2019'!F44</f>
        <v>1.0140952381E-3</v>
      </c>
      <c r="H140" s="57">
        <f>'N2O 1990-2019'!G44</f>
        <v>1.26761904762E-3</v>
      </c>
      <c r="I140" s="57">
        <f>'N2O 1990-2019'!H44</f>
        <v>8.9424761904799994E-3</v>
      </c>
      <c r="J140" s="57">
        <f>'N2O 1990-2019'!I44</f>
        <v>1.6617333333330001E-2</v>
      </c>
      <c r="K140" s="57">
        <f>'N2O 1990-2019'!J44</f>
        <v>2.4292190476189999E-2</v>
      </c>
      <c r="L140" s="57">
        <f>'N2O 1990-2019'!K44</f>
        <v>3.1967047619049997E-2</v>
      </c>
      <c r="M140" s="57">
        <f>'N2O 1990-2019'!L44</f>
        <v>3.96419047619E-2</v>
      </c>
      <c r="N140" s="57">
        <f>'N2O 1990-2019'!M44</f>
        <v>4.6256571428570002E-2</v>
      </c>
      <c r="O140" s="57">
        <f>'N2O 1990-2019'!N44</f>
        <v>5.2871238095239997E-2</v>
      </c>
      <c r="P140" s="57">
        <f>'N2O 1990-2019'!O44</f>
        <v>5.9485904761900001E-2</v>
      </c>
      <c r="Q140" s="57">
        <f>'N2O 1990-2019'!P44</f>
        <v>6.6100571428569996E-2</v>
      </c>
      <c r="R140" s="57">
        <f>'N2O 1990-2019'!Q44</f>
        <v>7.2715238095239998E-2</v>
      </c>
      <c r="S140" s="57">
        <f>'N2O 1990-2019'!R44</f>
        <v>7.9329904761899994E-2</v>
      </c>
      <c r="T140" s="57">
        <f>'N2O 1990-2019'!S44</f>
        <v>0.12542514285713999</v>
      </c>
      <c r="U140" s="57">
        <f>'N2O 1990-2019'!T44</f>
        <v>0.12542514285713999</v>
      </c>
      <c r="V140" s="57">
        <f>'N2O 1990-2019'!U44</f>
        <v>0.17152038095238001</v>
      </c>
      <c r="W140" s="57">
        <f>'N2O 1990-2019'!V44</f>
        <v>0.17152038095238001</v>
      </c>
      <c r="X140" s="57">
        <f>'N2O 1990-2019'!W44</f>
        <v>0.17126685714286</v>
      </c>
      <c r="Y140" s="57">
        <f>'N2O 1990-2019'!X44</f>
        <v>0.17101333333332999</v>
      </c>
      <c r="Z140" s="57">
        <f>'N2O 1990-2019'!Y44</f>
        <v>0.17075980952381001</v>
      </c>
      <c r="AA140" s="57">
        <f>'N2O 1990-2019'!Z44</f>
        <v>0.17050628571429</v>
      </c>
      <c r="AB140" s="57">
        <f>'N2O 1990-2019'!AA44</f>
        <v>0.17050628571429</v>
      </c>
      <c r="AC140" s="57">
        <f>'N2O 1990-2019'!AB44</f>
        <v>0.16257790476190001</v>
      </c>
      <c r="AD140" s="57">
        <f>'N2O 1990-2019'!AC44</f>
        <v>0.15490304761904999</v>
      </c>
      <c r="AE140" s="57">
        <f>'N2O 1990-2019'!AD44</f>
        <v>0.14722819047619001</v>
      </c>
      <c r="AF140" s="57">
        <f>'N2O 1990-2019'!AE44</f>
        <v>0.139553333</v>
      </c>
      <c r="AG140" s="57">
        <f>'N2O 1990-2019'!AF44</f>
        <v>0.13189691428570999</v>
      </c>
    </row>
    <row r="141" spans="1:33" x14ac:dyDescent="0.25">
      <c r="B141" s="7" t="str">
        <f>'N2O 1990-2019'!A45</f>
        <v>G.  Harvested wood products</v>
      </c>
    </row>
    <row r="144" spans="1:33" x14ac:dyDescent="0.25">
      <c r="B144" s="7" t="s">
        <v>188</v>
      </c>
      <c r="C144" s="66">
        <f>C113</f>
        <v>1990</v>
      </c>
      <c r="D144" s="66">
        <f t="shared" ref="D144:AG144" si="19">D113</f>
        <v>1990</v>
      </c>
      <c r="E144" s="66">
        <f t="shared" si="19"/>
        <v>1991</v>
      </c>
      <c r="F144" s="66">
        <f t="shared" si="19"/>
        <v>1992</v>
      </c>
      <c r="G144" s="66">
        <f t="shared" si="19"/>
        <v>1993</v>
      </c>
      <c r="H144" s="66">
        <f t="shared" si="19"/>
        <v>1994</v>
      </c>
      <c r="I144" s="66">
        <f t="shared" si="19"/>
        <v>1995</v>
      </c>
      <c r="J144" s="66">
        <f t="shared" si="19"/>
        <v>1996</v>
      </c>
      <c r="K144" s="66">
        <f t="shared" si="19"/>
        <v>1997</v>
      </c>
      <c r="L144" s="66">
        <f t="shared" si="19"/>
        <v>1998</v>
      </c>
      <c r="M144" s="66">
        <f t="shared" si="19"/>
        <v>1999</v>
      </c>
      <c r="N144" s="66">
        <f t="shared" si="19"/>
        <v>2000</v>
      </c>
      <c r="O144" s="66">
        <f t="shared" si="19"/>
        <v>2001</v>
      </c>
      <c r="P144" s="66">
        <f t="shared" si="19"/>
        <v>2002</v>
      </c>
      <c r="Q144" s="66">
        <f t="shared" si="19"/>
        <v>2003</v>
      </c>
      <c r="R144" s="66">
        <f t="shared" si="19"/>
        <v>2004</v>
      </c>
      <c r="S144" s="66">
        <f t="shared" si="19"/>
        <v>2005</v>
      </c>
      <c r="T144" s="66">
        <f t="shared" si="19"/>
        <v>2006</v>
      </c>
      <c r="U144" s="66">
        <f t="shared" si="19"/>
        <v>2007</v>
      </c>
      <c r="V144" s="66">
        <f t="shared" si="19"/>
        <v>2008</v>
      </c>
      <c r="W144" s="66">
        <f t="shared" si="19"/>
        <v>2009</v>
      </c>
      <c r="X144" s="66">
        <f t="shared" si="19"/>
        <v>2010</v>
      </c>
      <c r="Y144" s="66">
        <f t="shared" si="19"/>
        <v>2011</v>
      </c>
      <c r="Z144" s="66">
        <f t="shared" si="19"/>
        <v>2012</v>
      </c>
      <c r="AA144" s="66">
        <f t="shared" si="19"/>
        <v>2013</v>
      </c>
      <c r="AB144" s="66">
        <f t="shared" si="19"/>
        <v>2014</v>
      </c>
      <c r="AC144" s="66">
        <f t="shared" si="19"/>
        <v>2015</v>
      </c>
      <c r="AD144" s="66">
        <f t="shared" si="19"/>
        <v>2016</v>
      </c>
      <c r="AE144" s="66">
        <f t="shared" si="19"/>
        <v>2017</v>
      </c>
      <c r="AF144" s="66">
        <f t="shared" si="19"/>
        <v>2018</v>
      </c>
      <c r="AG144" s="66">
        <f t="shared" si="19"/>
        <v>2019</v>
      </c>
    </row>
    <row r="145" spans="2:35" x14ac:dyDescent="0.25">
      <c r="B145" s="7" t="str">
        <f>B134</f>
        <v>4. Land use, land-use change and forestry</v>
      </c>
      <c r="C145" s="62">
        <f>C114+C124*$A$123+C134*$A$133</f>
        <v>5170.0914424715547</v>
      </c>
      <c r="D145" s="62">
        <f t="shared" ref="D145:AG151" si="20">D114+D124*$A$123+D134*$A$133</f>
        <v>5170.0914424715547</v>
      </c>
      <c r="E145" s="62">
        <f t="shared" si="20"/>
        <v>5008.5172845480874</v>
      </c>
      <c r="F145" s="62">
        <f t="shared" si="20"/>
        <v>4724.0889515745384</v>
      </c>
      <c r="G145" s="62">
        <f t="shared" si="20"/>
        <v>4642.7308608076046</v>
      </c>
      <c r="H145" s="62">
        <f t="shared" si="20"/>
        <v>4745.1899712384093</v>
      </c>
      <c r="I145" s="62">
        <f t="shared" si="20"/>
        <v>5724.1136642041156</v>
      </c>
      <c r="J145" s="62">
        <f t="shared" si="20"/>
        <v>5330.214737815053</v>
      </c>
      <c r="K145" s="62">
        <f t="shared" si="20"/>
        <v>4624.6512306766117</v>
      </c>
      <c r="L145" s="62">
        <f t="shared" si="20"/>
        <v>4395.507742977924</v>
      </c>
      <c r="M145" s="62">
        <f t="shared" si="20"/>
        <v>4510.2349381944432</v>
      </c>
      <c r="N145" s="62">
        <f t="shared" si="20"/>
        <v>5914.1134510258944</v>
      </c>
      <c r="O145" s="62">
        <f t="shared" si="20"/>
        <v>7242.6929988084376</v>
      </c>
      <c r="P145" s="62">
        <f t="shared" si="20"/>
        <v>6850.8910951631897</v>
      </c>
      <c r="Q145" s="62">
        <f t="shared" si="20"/>
        <v>7167.8340109310902</v>
      </c>
      <c r="R145" s="62">
        <f t="shared" si="20"/>
        <v>5496.252721412583</v>
      </c>
      <c r="S145" s="62">
        <f t="shared" si="20"/>
        <v>6006.9054758999509</v>
      </c>
      <c r="T145" s="62">
        <f t="shared" si="20"/>
        <v>6429.8764433537644</v>
      </c>
      <c r="U145" s="62">
        <f t="shared" si="20"/>
        <v>5639.8706296995806</v>
      </c>
      <c r="V145" s="62">
        <f t="shared" si="20"/>
        <v>4856.2992581777344</v>
      </c>
      <c r="W145" s="62">
        <f t="shared" si="20"/>
        <v>4577.6572138247157</v>
      </c>
      <c r="X145" s="62">
        <f t="shared" si="20"/>
        <v>6274.5218756292907</v>
      </c>
      <c r="Y145" s="62">
        <f t="shared" si="20"/>
        <v>5499.3372192970019</v>
      </c>
      <c r="Z145" s="62">
        <f t="shared" si="20"/>
        <v>4454.0207980985742</v>
      </c>
      <c r="AA145" s="62">
        <f t="shared" si="20"/>
        <v>4580.6217845655119</v>
      </c>
      <c r="AB145" s="62">
        <f t="shared" si="20"/>
        <v>5957.3441328510471</v>
      </c>
      <c r="AC145" s="62">
        <f t="shared" si="20"/>
        <v>5584.1230559317155</v>
      </c>
      <c r="AD145" s="62">
        <f t="shared" si="20"/>
        <v>4988.9534828162386</v>
      </c>
      <c r="AE145" s="62">
        <f t="shared" si="20"/>
        <v>6515.561449803593</v>
      </c>
      <c r="AF145" s="62">
        <f t="shared" si="20"/>
        <v>4796.3715012967114</v>
      </c>
      <c r="AG145" s="62">
        <f t="shared" si="20"/>
        <v>4449.6067555464488</v>
      </c>
    </row>
    <row r="146" spans="2:35" x14ac:dyDescent="0.25">
      <c r="B146" s="7" t="str">
        <f t="shared" ref="B146:B152" si="21">B135</f>
        <v>A.  Forest land</v>
      </c>
      <c r="C146" s="62">
        <f t="shared" ref="C146:R151" si="22">C115+C125*$A$123+C135*$A$133</f>
        <v>-3714.3191819491853</v>
      </c>
      <c r="D146" s="62">
        <f t="shared" si="22"/>
        <v>-3714.3191819491853</v>
      </c>
      <c r="E146" s="62">
        <f t="shared" si="22"/>
        <v>-3853.0630761423749</v>
      </c>
      <c r="F146" s="62">
        <f t="shared" si="22"/>
        <v>-3267.5600602983486</v>
      </c>
      <c r="G146" s="62">
        <f t="shared" si="22"/>
        <v>-3493.138421967366</v>
      </c>
      <c r="H146" s="62">
        <f t="shared" si="22"/>
        <v>-3089.7470298082121</v>
      </c>
      <c r="I146" s="62">
        <f t="shared" si="22"/>
        <v>-2746.0341749099757</v>
      </c>
      <c r="J146" s="62">
        <f t="shared" si="22"/>
        <v>-2551.1261311242006</v>
      </c>
      <c r="K146" s="62">
        <f t="shared" si="22"/>
        <v>-3457.524689908455</v>
      </c>
      <c r="L146" s="62">
        <f t="shared" si="22"/>
        <v>-3008.8574713014546</v>
      </c>
      <c r="M146" s="62">
        <f t="shared" si="22"/>
        <v>-2932.8684024831864</v>
      </c>
      <c r="N146" s="62">
        <f t="shared" si="22"/>
        <v>-1975.4229302683289</v>
      </c>
      <c r="O146" s="62">
        <f t="shared" si="22"/>
        <v>-2217.7570570289563</v>
      </c>
      <c r="P146" s="62">
        <f t="shared" si="22"/>
        <v>-2206.1810751452272</v>
      </c>
      <c r="Q146" s="62">
        <f t="shared" si="22"/>
        <v>-2369.8360719867424</v>
      </c>
      <c r="R146" s="62">
        <f t="shared" si="22"/>
        <v>-3212.838553615511</v>
      </c>
      <c r="S146" s="62">
        <f t="shared" si="20"/>
        <v>-2993.1555551394304</v>
      </c>
      <c r="T146" s="62">
        <f t="shared" si="20"/>
        <v>-3252.5711073401435</v>
      </c>
      <c r="U146" s="62">
        <f t="shared" si="20"/>
        <v>-2984.1865356214603</v>
      </c>
      <c r="V146" s="62">
        <f t="shared" si="20"/>
        <v>-4234.195050906631</v>
      </c>
      <c r="W146" s="62">
        <f t="shared" si="20"/>
        <v>-4059.5984513825606</v>
      </c>
      <c r="X146" s="62">
        <f t="shared" si="20"/>
        <v>-3696.8427496289078</v>
      </c>
      <c r="Y146" s="62">
        <f t="shared" si="20"/>
        <v>-3758.334194725604</v>
      </c>
      <c r="Z146" s="62">
        <f t="shared" si="20"/>
        <v>-4505.7193622489995</v>
      </c>
      <c r="AA146" s="62">
        <f t="shared" si="20"/>
        <v>-5299.3539603115223</v>
      </c>
      <c r="AB146" s="62">
        <f t="shared" si="20"/>
        <v>-4080.3113657853119</v>
      </c>
      <c r="AC146" s="62">
        <f t="shared" si="20"/>
        <v>-4861.7078291097778</v>
      </c>
      <c r="AD146" s="62">
        <f t="shared" si="20"/>
        <v>-4229.8790805666968</v>
      </c>
      <c r="AE146" s="62">
        <f t="shared" si="20"/>
        <v>-3607.406235830601</v>
      </c>
      <c r="AF146" s="62">
        <f t="shared" si="20"/>
        <v>-3974.7813003190959</v>
      </c>
      <c r="AG146" s="62">
        <f t="shared" si="20"/>
        <v>-4445.2258293665964</v>
      </c>
    </row>
    <row r="147" spans="2:35" x14ac:dyDescent="0.25">
      <c r="B147" s="7" t="str">
        <f t="shared" si="21"/>
        <v>B.  Cropland</v>
      </c>
      <c r="C147" s="62">
        <f t="shared" si="22"/>
        <v>20.31039974007383</v>
      </c>
      <c r="D147" s="62">
        <f t="shared" si="20"/>
        <v>20.31039974007383</v>
      </c>
      <c r="E147" s="62">
        <f t="shared" si="20"/>
        <v>85.097778917025096</v>
      </c>
      <c r="F147" s="62">
        <f t="shared" si="20"/>
        <v>58.110441972803066</v>
      </c>
      <c r="G147" s="62">
        <f t="shared" si="20"/>
        <v>24.69664767174984</v>
      </c>
      <c r="H147" s="62">
        <f t="shared" si="20"/>
        <v>64.01719184900881</v>
      </c>
      <c r="I147" s="62">
        <f t="shared" si="20"/>
        <v>88.852616744579521</v>
      </c>
      <c r="J147" s="62">
        <f t="shared" si="20"/>
        <v>41.707930833206866</v>
      </c>
      <c r="K147" s="62">
        <f t="shared" si="20"/>
        <v>95.267257040619867</v>
      </c>
      <c r="L147" s="62">
        <f t="shared" si="20"/>
        <v>21.802444952042439</v>
      </c>
      <c r="M147" s="62">
        <f t="shared" si="20"/>
        <v>125.64137394904687</v>
      </c>
      <c r="N147" s="62">
        <f t="shared" si="20"/>
        <v>74.241690086326912</v>
      </c>
      <c r="O147" s="62">
        <f t="shared" si="20"/>
        <v>258.99462368890158</v>
      </c>
      <c r="P147" s="62">
        <f t="shared" si="20"/>
        <v>258.60006897127732</v>
      </c>
      <c r="Q147" s="62">
        <f t="shared" si="20"/>
        <v>146.94895976038515</v>
      </c>
      <c r="R147" s="62">
        <f t="shared" si="20"/>
        <v>148.55033929941263</v>
      </c>
      <c r="S147" s="62">
        <f t="shared" si="20"/>
        <v>102.57132565825827</v>
      </c>
      <c r="T147" s="62">
        <f t="shared" si="20"/>
        <v>-0.84451963792998996</v>
      </c>
      <c r="U147" s="62">
        <f t="shared" si="20"/>
        <v>70.693178213160394</v>
      </c>
      <c r="V147" s="62">
        <f t="shared" si="20"/>
        <v>249.35639585855253</v>
      </c>
      <c r="W147" s="62">
        <f t="shared" si="20"/>
        <v>13.367972225570689</v>
      </c>
      <c r="X147" s="62">
        <f t="shared" si="20"/>
        <v>-74.377950029967451</v>
      </c>
      <c r="Y147" s="62">
        <f t="shared" si="20"/>
        <v>44.848083877926051</v>
      </c>
      <c r="Z147" s="62">
        <f t="shared" si="20"/>
        <v>101.60062799064717</v>
      </c>
      <c r="AA147" s="62">
        <f t="shared" si="20"/>
        <v>39.264167787819297</v>
      </c>
      <c r="AB147" s="62">
        <f t="shared" si="20"/>
        <v>1.6869817298580401</v>
      </c>
      <c r="AC147" s="62">
        <f t="shared" si="20"/>
        <v>-9.4559773005731103</v>
      </c>
      <c r="AD147" s="62">
        <f t="shared" si="20"/>
        <v>-42.967287159748352</v>
      </c>
      <c r="AE147" s="62">
        <f t="shared" si="20"/>
        <v>-43.19472459537932</v>
      </c>
      <c r="AF147" s="62">
        <f t="shared" si="20"/>
        <v>-129.26347869171701</v>
      </c>
      <c r="AG147" s="62">
        <f t="shared" si="20"/>
        <v>-110.12298425200612</v>
      </c>
    </row>
    <row r="148" spans="2:35" x14ac:dyDescent="0.25">
      <c r="B148" s="7" t="str">
        <f t="shared" si="21"/>
        <v>C.  Grassland</v>
      </c>
      <c r="C148" s="62">
        <f t="shared" si="22"/>
        <v>7280.0858007856123</v>
      </c>
      <c r="D148" s="62">
        <f t="shared" si="20"/>
        <v>7280.0858007856123</v>
      </c>
      <c r="E148" s="62">
        <f t="shared" si="20"/>
        <v>7385.7988288353135</v>
      </c>
      <c r="F148" s="62">
        <f t="shared" si="20"/>
        <v>6798.4316850485502</v>
      </c>
      <c r="G148" s="62">
        <f t="shared" si="20"/>
        <v>6445.3075816082801</v>
      </c>
      <c r="H148" s="62">
        <f t="shared" si="20"/>
        <v>6288.2883093721821</v>
      </c>
      <c r="I148" s="62">
        <f t="shared" si="20"/>
        <v>6487.8669869064042</v>
      </c>
      <c r="J148" s="62">
        <f t="shared" si="20"/>
        <v>6149.6613450132418</v>
      </c>
      <c r="K148" s="62">
        <f t="shared" si="20"/>
        <v>6547.4413355955503</v>
      </c>
      <c r="L148" s="62">
        <f t="shared" si="20"/>
        <v>6278.6698340120747</v>
      </c>
      <c r="M148" s="62">
        <f t="shared" si="20"/>
        <v>6211.454889728373</v>
      </c>
      <c r="N148" s="62">
        <f t="shared" si="20"/>
        <v>6872.046280778025</v>
      </c>
      <c r="O148" s="62">
        <f t="shared" si="20"/>
        <v>6754.3158932607839</v>
      </c>
      <c r="P148" s="62">
        <f t="shared" si="20"/>
        <v>7122.2533221359909</v>
      </c>
      <c r="Q148" s="62">
        <f t="shared" si="20"/>
        <v>6823.5312747965645</v>
      </c>
      <c r="R148" s="62">
        <f t="shared" si="20"/>
        <v>6494.7758111140092</v>
      </c>
      <c r="S148" s="62">
        <f t="shared" si="20"/>
        <v>6773.3048298678914</v>
      </c>
      <c r="T148" s="62">
        <f t="shared" si="20"/>
        <v>6629.0150318576298</v>
      </c>
      <c r="U148" s="62">
        <f t="shared" si="20"/>
        <v>6635.2710102756619</v>
      </c>
      <c r="V148" s="62">
        <f t="shared" si="20"/>
        <v>6881.1486452191448</v>
      </c>
      <c r="W148" s="62">
        <f t="shared" si="20"/>
        <v>7060.7104147013524</v>
      </c>
      <c r="X148" s="62">
        <f t="shared" si="20"/>
        <v>6962.0520335669335</v>
      </c>
      <c r="Y148" s="62">
        <f t="shared" si="20"/>
        <v>6927.5444911824579</v>
      </c>
      <c r="Z148" s="62">
        <f t="shared" si="20"/>
        <v>7067.7012354496819</v>
      </c>
      <c r="AA148" s="62">
        <f t="shared" si="20"/>
        <v>7447.1659468317112</v>
      </c>
      <c r="AB148" s="62">
        <f t="shared" si="20"/>
        <v>6951.1150255081247</v>
      </c>
      <c r="AC148" s="62">
        <f t="shared" si="20"/>
        <v>6940.9733749912411</v>
      </c>
      <c r="AD148" s="62">
        <f t="shared" si="20"/>
        <v>6968.5819928318442</v>
      </c>
      <c r="AE148" s="62">
        <f t="shared" si="20"/>
        <v>6990.1739280305774</v>
      </c>
      <c r="AF148" s="62">
        <f t="shared" si="20"/>
        <v>7043.9886632113485</v>
      </c>
      <c r="AG148" s="62">
        <f t="shared" si="20"/>
        <v>7035.8947886062451</v>
      </c>
    </row>
    <row r="149" spans="2:35" x14ac:dyDescent="0.25">
      <c r="B149" s="7" t="str">
        <f t="shared" si="21"/>
        <v>D.  Wetlands</v>
      </c>
      <c r="C149" s="62">
        <f t="shared" si="22"/>
        <v>1910.126320573429</v>
      </c>
      <c r="D149" s="62">
        <f t="shared" si="20"/>
        <v>1910.126320573429</v>
      </c>
      <c r="E149" s="62">
        <f t="shared" si="20"/>
        <v>1723.6905889480786</v>
      </c>
      <c r="F149" s="62">
        <f t="shared" si="20"/>
        <v>1604.6118666655382</v>
      </c>
      <c r="G149" s="62">
        <f t="shared" si="20"/>
        <v>2173.8957212132927</v>
      </c>
      <c r="H149" s="62">
        <f t="shared" si="20"/>
        <v>2015.3395707636205</v>
      </c>
      <c r="I149" s="62">
        <f t="shared" si="20"/>
        <v>2431.7784765603819</v>
      </c>
      <c r="J149" s="62">
        <f t="shared" si="20"/>
        <v>2315.6257189648459</v>
      </c>
      <c r="K149" s="62">
        <f t="shared" si="20"/>
        <v>2052.3124650796331</v>
      </c>
      <c r="L149" s="62">
        <f t="shared" si="20"/>
        <v>1807.8029121257432</v>
      </c>
      <c r="M149" s="62">
        <f t="shared" si="20"/>
        <v>1775.4975571667144</v>
      </c>
      <c r="N149" s="62">
        <f t="shared" si="20"/>
        <v>1803.3321814487322</v>
      </c>
      <c r="O149" s="62">
        <f t="shared" si="20"/>
        <v>3231.6843094044821</v>
      </c>
      <c r="P149" s="62">
        <f t="shared" si="20"/>
        <v>2304.6472262852021</v>
      </c>
      <c r="Q149" s="62">
        <f t="shared" si="20"/>
        <v>3359.3867589136175</v>
      </c>
      <c r="R149" s="62">
        <f t="shared" si="20"/>
        <v>2733.9858945129622</v>
      </c>
      <c r="S149" s="62">
        <f t="shared" si="20"/>
        <v>2802.3831757284879</v>
      </c>
      <c r="T149" s="62">
        <f t="shared" si="20"/>
        <v>2373.51807611401</v>
      </c>
      <c r="U149" s="62">
        <f t="shared" si="20"/>
        <v>2483.1954440208333</v>
      </c>
      <c r="V149" s="62">
        <f t="shared" si="20"/>
        <v>2091.7252823368917</v>
      </c>
      <c r="W149" s="62">
        <f t="shared" si="20"/>
        <v>1922.2348898321441</v>
      </c>
      <c r="X149" s="62">
        <f t="shared" si="20"/>
        <v>3540.3747893107652</v>
      </c>
      <c r="Y149" s="62">
        <f t="shared" si="20"/>
        <v>2852.1602125184077</v>
      </c>
      <c r="Z149" s="62">
        <f t="shared" si="20"/>
        <v>2087.8367065292096</v>
      </c>
      <c r="AA149" s="62">
        <f t="shared" si="20"/>
        <v>2873.5324269460525</v>
      </c>
      <c r="AB149" s="62">
        <f t="shared" si="20"/>
        <v>3676.5781553764805</v>
      </c>
      <c r="AC149" s="62">
        <f t="shared" si="20"/>
        <v>4058.6201019892646</v>
      </c>
      <c r="AD149" s="62">
        <f t="shared" si="20"/>
        <v>2909.4548181983655</v>
      </c>
      <c r="AE149" s="62">
        <f t="shared" si="20"/>
        <v>3827.9874485382111</v>
      </c>
      <c r="AF149" s="62">
        <f t="shared" si="20"/>
        <v>2473.7568246469209</v>
      </c>
      <c r="AG149" s="62">
        <f t="shared" si="20"/>
        <v>2341.3965829765366</v>
      </c>
    </row>
    <row r="150" spans="2:35" x14ac:dyDescent="0.25">
      <c r="B150" s="7" t="str">
        <f t="shared" si="21"/>
        <v xml:space="preserve">E.  Settlements </v>
      </c>
      <c r="C150" s="62">
        <f t="shared" si="22"/>
        <v>86.052731641399731</v>
      </c>
      <c r="D150" s="62">
        <f t="shared" si="20"/>
        <v>86.052731641399731</v>
      </c>
      <c r="E150" s="62">
        <f t="shared" si="20"/>
        <v>75.670831220880046</v>
      </c>
      <c r="F150" s="62">
        <f t="shared" si="20"/>
        <v>90.048418963626503</v>
      </c>
      <c r="G150" s="62">
        <f t="shared" si="20"/>
        <v>77.258682651577701</v>
      </c>
      <c r="H150" s="62">
        <f t="shared" si="20"/>
        <v>111.8654792278187</v>
      </c>
      <c r="I150" s="62">
        <f t="shared" si="20"/>
        <v>118.2341996246036</v>
      </c>
      <c r="J150" s="62">
        <f t="shared" si="20"/>
        <v>134.77564251872823</v>
      </c>
      <c r="K150" s="62">
        <f t="shared" si="20"/>
        <v>149.4403989776394</v>
      </c>
      <c r="L150" s="62">
        <f t="shared" si="20"/>
        <v>165.4236080102493</v>
      </c>
      <c r="M150" s="62">
        <f t="shared" si="20"/>
        <v>181.40183870380304</v>
      </c>
      <c r="N150" s="62">
        <f t="shared" si="20"/>
        <v>210.10838397611678</v>
      </c>
      <c r="O150" s="62">
        <f t="shared" si="20"/>
        <v>273.27912585005254</v>
      </c>
      <c r="P150" s="62">
        <f t="shared" si="20"/>
        <v>264.67715521688649</v>
      </c>
      <c r="Q150" s="62">
        <f t="shared" si="20"/>
        <v>327.19310493996068</v>
      </c>
      <c r="R150" s="62">
        <f t="shared" si="20"/>
        <v>357.53430769494076</v>
      </c>
      <c r="S150" s="62">
        <f t="shared" si="20"/>
        <v>384.64657676861941</v>
      </c>
      <c r="T150" s="62">
        <f t="shared" si="20"/>
        <v>471.10167218361789</v>
      </c>
      <c r="U150" s="62">
        <f t="shared" si="20"/>
        <v>590.44546057922207</v>
      </c>
      <c r="V150" s="62">
        <f t="shared" si="20"/>
        <v>491.34766062483612</v>
      </c>
      <c r="W150" s="62">
        <f t="shared" si="20"/>
        <v>292.87577140430778</v>
      </c>
      <c r="X150" s="62">
        <f t="shared" si="20"/>
        <v>305.56922864431954</v>
      </c>
      <c r="Y150" s="62">
        <f t="shared" si="20"/>
        <v>118.44282218531939</v>
      </c>
      <c r="Z150" s="62">
        <f t="shared" si="20"/>
        <v>314.86762793023536</v>
      </c>
      <c r="AA150" s="62">
        <f t="shared" si="20"/>
        <v>126.09294323816084</v>
      </c>
      <c r="AB150" s="62">
        <f t="shared" si="20"/>
        <v>115.19761183509914</v>
      </c>
      <c r="AC150" s="62">
        <f t="shared" si="20"/>
        <v>130.54366876364921</v>
      </c>
      <c r="AD150" s="62">
        <f t="shared" si="20"/>
        <v>135.89557800346142</v>
      </c>
      <c r="AE150" s="62">
        <f t="shared" si="20"/>
        <v>167.56824333941904</v>
      </c>
      <c r="AF150" s="62">
        <f t="shared" si="20"/>
        <v>161.36533760848164</v>
      </c>
      <c r="AG150" s="62">
        <f t="shared" si="20"/>
        <v>200.93074446912638</v>
      </c>
    </row>
    <row r="151" spans="2:35" x14ac:dyDescent="0.25">
      <c r="B151" s="7" t="str">
        <f t="shared" si="21"/>
        <v>F.  Other land</v>
      </c>
      <c r="C151" s="62">
        <f t="shared" si="22"/>
        <v>0.87883892583803003</v>
      </c>
      <c r="D151" s="62">
        <f t="shared" si="20"/>
        <v>0.87883892583803003</v>
      </c>
      <c r="E151" s="62">
        <f t="shared" si="20"/>
        <v>0.95489606869680999</v>
      </c>
      <c r="F151" s="62">
        <f t="shared" si="20"/>
        <v>1.0309532115529501</v>
      </c>
      <c r="G151" s="62">
        <f t="shared" si="20"/>
        <v>1.10701035441173</v>
      </c>
      <c r="H151" s="62">
        <f t="shared" si="20"/>
        <v>1.1830674972678599</v>
      </c>
      <c r="I151" s="62">
        <f t="shared" si="20"/>
        <v>23.11427869953555</v>
      </c>
      <c r="J151" s="62">
        <f t="shared" si="20"/>
        <v>29.287593975724171</v>
      </c>
      <c r="K151" s="62">
        <f t="shared" si="20"/>
        <v>31.590051118582071</v>
      </c>
      <c r="L151" s="62">
        <f t="shared" si="20"/>
        <v>33.892508261439971</v>
      </c>
      <c r="M151" s="62">
        <f t="shared" si="20"/>
        <v>36.194965404295218</v>
      </c>
      <c r="N151" s="62">
        <f t="shared" si="20"/>
        <v>53.059871517084154</v>
      </c>
      <c r="O151" s="62">
        <f t="shared" si="20"/>
        <v>58.130824467809646</v>
      </c>
      <c r="P151" s="62">
        <f t="shared" si="20"/>
        <v>60.304644467807883</v>
      </c>
      <c r="Q151" s="62">
        <f t="shared" si="20"/>
        <v>62.478464467808763</v>
      </c>
      <c r="R151" s="62">
        <f t="shared" si="20"/>
        <v>64.65228446780965</v>
      </c>
      <c r="S151" s="62">
        <f t="shared" si="20"/>
        <v>66.826104467807838</v>
      </c>
      <c r="T151" s="62">
        <f t="shared" si="20"/>
        <v>1483.5773961904767</v>
      </c>
      <c r="U151" s="62">
        <f t="shared" si="20"/>
        <v>42.724062857142108</v>
      </c>
      <c r="V151" s="62">
        <f t="shared" si="20"/>
        <v>65.073375174605488</v>
      </c>
      <c r="W151" s="62">
        <f t="shared" si="20"/>
        <v>56.552634285714042</v>
      </c>
      <c r="X151" s="62">
        <f t="shared" si="20"/>
        <v>56.476577142857906</v>
      </c>
      <c r="Y151" s="62">
        <f t="shared" si="20"/>
        <v>56.400519999999126</v>
      </c>
      <c r="Z151" s="62">
        <f t="shared" si="20"/>
        <v>56.32446285714299</v>
      </c>
      <c r="AA151" s="62">
        <f t="shared" si="20"/>
        <v>56.248405714286861</v>
      </c>
      <c r="AB151" s="62">
        <f t="shared" si="20"/>
        <v>56.248405714286861</v>
      </c>
      <c r="AC151" s="62">
        <f t="shared" si="20"/>
        <v>53.869891428570185</v>
      </c>
      <c r="AD151" s="62">
        <f t="shared" si="20"/>
        <v>51.567434285714931</v>
      </c>
      <c r="AE151" s="62">
        <f t="shared" si="20"/>
        <v>49.264977142857035</v>
      </c>
      <c r="AF151" s="62">
        <f t="shared" si="20"/>
        <v>46.962519911666675</v>
      </c>
      <c r="AG151" s="62">
        <f t="shared" si="20"/>
        <v>44.666655563368543</v>
      </c>
    </row>
    <row r="152" spans="2:35" x14ac:dyDescent="0.25">
      <c r="B152" s="7" t="str">
        <f t="shared" si="21"/>
        <v>G.  Harvested wood products</v>
      </c>
      <c r="C152" s="62">
        <f>C121+C131*$A$123+C141*$A$133</f>
        <v>-413.04346724561293</v>
      </c>
      <c r="D152" s="62">
        <f t="shared" ref="D152:AG152" si="23">D121+D131*$A$123+D141*$A$133</f>
        <v>-413.04346724561293</v>
      </c>
      <c r="E152" s="62">
        <f t="shared" si="23"/>
        <v>-409.63256329952986</v>
      </c>
      <c r="F152" s="62">
        <f t="shared" si="23"/>
        <v>-560.58435398918311</v>
      </c>
      <c r="G152" s="62">
        <f t="shared" si="23"/>
        <v>-586.39636072434257</v>
      </c>
      <c r="H152" s="62">
        <f t="shared" si="23"/>
        <v>-645.75661766327653</v>
      </c>
      <c r="I152" s="62">
        <f t="shared" si="23"/>
        <v>-679.6987194214139</v>
      </c>
      <c r="J152" s="62">
        <f t="shared" si="23"/>
        <v>-789.71736236649281</v>
      </c>
      <c r="K152" s="62">
        <f t="shared" si="23"/>
        <v>-793.8755872269578</v>
      </c>
      <c r="L152" s="62">
        <f t="shared" si="23"/>
        <v>-903.22609308217091</v>
      </c>
      <c r="M152" s="62">
        <f t="shared" si="23"/>
        <v>-887.08728427460323</v>
      </c>
      <c r="N152" s="62">
        <f t="shared" si="23"/>
        <v>-1123.2520265120611</v>
      </c>
      <c r="O152" s="62">
        <f t="shared" si="23"/>
        <v>-1115.954720834636</v>
      </c>
      <c r="P152" s="62">
        <f t="shared" si="23"/>
        <v>-953.41024676874827</v>
      </c>
      <c r="Q152" s="62">
        <f t="shared" si="23"/>
        <v>-1181.8684799605053</v>
      </c>
      <c r="R152" s="62">
        <f t="shared" si="23"/>
        <v>-1090.4073620610397</v>
      </c>
      <c r="S152" s="62">
        <f t="shared" si="23"/>
        <v>-1129.6709814516839</v>
      </c>
      <c r="T152" s="62">
        <f t="shared" si="23"/>
        <v>-1273.9201060138962</v>
      </c>
      <c r="U152" s="62">
        <f t="shared" si="23"/>
        <v>-1198.271990624979</v>
      </c>
      <c r="V152" s="62">
        <f t="shared" si="23"/>
        <v>-688.15705012966407</v>
      </c>
      <c r="W152" s="62">
        <f t="shared" si="23"/>
        <v>-708.48601724181174</v>
      </c>
      <c r="X152" s="62">
        <f t="shared" si="23"/>
        <v>-818.73005337671043</v>
      </c>
      <c r="Y152" s="62">
        <f t="shared" si="23"/>
        <v>-741.72471574150427</v>
      </c>
      <c r="Z152" s="62">
        <f t="shared" si="23"/>
        <v>-668.59050040934176</v>
      </c>
      <c r="AA152" s="62">
        <f t="shared" si="23"/>
        <v>-662.32814564099601</v>
      </c>
      <c r="AB152" s="62">
        <f t="shared" si="23"/>
        <v>-763.17068152749141</v>
      </c>
      <c r="AC152" s="62">
        <f t="shared" si="23"/>
        <v>-728.72017483065918</v>
      </c>
      <c r="AD152" s="62">
        <f t="shared" si="23"/>
        <v>-803.69997277670166</v>
      </c>
      <c r="AE152" s="62">
        <f t="shared" si="23"/>
        <v>-868.83218682149072</v>
      </c>
      <c r="AF152" s="62">
        <f t="shared" si="23"/>
        <v>-825.65706507089385</v>
      </c>
      <c r="AG152" s="62">
        <f t="shared" si="23"/>
        <v>-617.93320245022664</v>
      </c>
    </row>
    <row r="154" spans="2:35" x14ac:dyDescent="0.25">
      <c r="B154" s="7" t="s">
        <v>2</v>
      </c>
      <c r="C154" s="85">
        <f>C114/C145</f>
        <v>0.87536307969365945</v>
      </c>
      <c r="D154" s="85">
        <f t="shared" ref="D154:AG154" si="24">D114/D145</f>
        <v>0.87536307969365945</v>
      </c>
      <c r="E154" s="85">
        <f t="shared" si="24"/>
        <v>0.87371512392423012</v>
      </c>
      <c r="F154" s="85">
        <f t="shared" si="24"/>
        <v>0.8800163062100067</v>
      </c>
      <c r="G154" s="85">
        <f t="shared" si="24"/>
        <v>0.85981669067751088</v>
      </c>
      <c r="H154" s="85">
        <f t="shared" si="24"/>
        <v>0.86619425002836181</v>
      </c>
      <c r="I154" s="85">
        <f t="shared" si="24"/>
        <v>0.88035083180430618</v>
      </c>
      <c r="J154" s="85">
        <f t="shared" si="24"/>
        <v>0.86434435863591275</v>
      </c>
      <c r="K154" s="85">
        <f t="shared" si="24"/>
        <v>0.86084808490481657</v>
      </c>
      <c r="L154" s="85">
        <f t="shared" si="24"/>
        <v>0.86191144261279695</v>
      </c>
      <c r="M154" s="85">
        <f t="shared" si="24"/>
        <v>0.87251214987234871</v>
      </c>
      <c r="N154" s="85">
        <f t="shared" si="24"/>
        <v>0.88724705938764892</v>
      </c>
      <c r="O154" s="85">
        <f t="shared" si="24"/>
        <v>0.86660665424417072</v>
      </c>
      <c r="P154" s="85">
        <f t="shared" si="24"/>
        <v>0.90481147228361258</v>
      </c>
      <c r="Q154" s="85">
        <f t="shared" si="24"/>
        <v>0.8709641270312094</v>
      </c>
      <c r="R154" s="85">
        <f t="shared" si="24"/>
        <v>0.86119222167848375</v>
      </c>
      <c r="S154" s="85">
        <f t="shared" si="24"/>
        <v>0.87278746714227173</v>
      </c>
      <c r="T154" s="85">
        <f t="shared" si="24"/>
        <v>0.8831261544826573</v>
      </c>
      <c r="U154" s="85">
        <f t="shared" si="24"/>
        <v>0.87012101909664608</v>
      </c>
      <c r="V154" s="85">
        <f t="shared" si="24"/>
        <v>0.84997187935776652</v>
      </c>
      <c r="W154" s="85">
        <f t="shared" si="24"/>
        <v>0.83705121844745267</v>
      </c>
      <c r="X154" s="85">
        <f t="shared" si="24"/>
        <v>0.81007123410699522</v>
      </c>
      <c r="Y154" s="85">
        <f t="shared" si="24"/>
        <v>0.83342323143287389</v>
      </c>
      <c r="Z154" s="85">
        <f t="shared" si="24"/>
        <v>0.82668180006531189</v>
      </c>
      <c r="AA154" s="85">
        <f t="shared" si="24"/>
        <v>0.80604161749852898</v>
      </c>
      <c r="AB154" s="85">
        <f t="shared" si="24"/>
        <v>0.81598684148612799</v>
      </c>
      <c r="AC154" s="85">
        <f t="shared" si="24"/>
        <v>0.84405154308359054</v>
      </c>
      <c r="AD154" s="85">
        <f t="shared" si="24"/>
        <v>0.83725715965665293</v>
      </c>
      <c r="AE154" s="85">
        <f t="shared" si="24"/>
        <v>0.82085999424328271</v>
      </c>
      <c r="AF154" s="85">
        <f t="shared" si="24"/>
        <v>0.81735866105559651</v>
      </c>
      <c r="AG154" s="85">
        <f t="shared" si="24"/>
        <v>0.81349283043331833</v>
      </c>
      <c r="AI154" s="85">
        <f>AVERAGE(X154:AG154)</f>
        <v>0.8225224913062279</v>
      </c>
    </row>
    <row r="155" spans="2:35" x14ac:dyDescent="0.25">
      <c r="B155" s="7" t="s">
        <v>3</v>
      </c>
      <c r="C155" s="85">
        <f>C124*28/C145</f>
        <v>9.9562694872017701E-2</v>
      </c>
      <c r="D155" s="85">
        <f t="shared" ref="D155:AG155" si="25">D124*28/D145</f>
        <v>9.9562694872017701E-2</v>
      </c>
      <c r="E155" s="85">
        <f t="shared" si="25"/>
        <v>9.6867760593090629E-2</v>
      </c>
      <c r="F155" s="85">
        <f t="shared" si="25"/>
        <v>9.5505814339395742E-2</v>
      </c>
      <c r="G155" s="85">
        <f t="shared" si="25"/>
        <v>0.11261225243089255</v>
      </c>
      <c r="H155" s="85">
        <f t="shared" si="25"/>
        <v>0.10503280804996785</v>
      </c>
      <c r="I155" s="85">
        <f t="shared" si="25"/>
        <v>8.9636351402491793E-2</v>
      </c>
      <c r="J155" s="85">
        <f t="shared" si="25"/>
        <v>0.10447290414223355</v>
      </c>
      <c r="K155" s="85">
        <f t="shared" si="25"/>
        <v>0.10017008497768916</v>
      </c>
      <c r="L155" s="85">
        <f t="shared" si="25"/>
        <v>9.9219103605429501E-2</v>
      </c>
      <c r="M155" s="85">
        <f t="shared" si="25"/>
        <v>9.1078019787580636E-2</v>
      </c>
      <c r="N155" s="85">
        <f t="shared" si="25"/>
        <v>8.2096991256824292E-2</v>
      </c>
      <c r="O155" s="85">
        <f t="shared" si="25"/>
        <v>9.9529363834203174E-2</v>
      </c>
      <c r="P155" s="85">
        <f t="shared" si="25"/>
        <v>6.127891013931628E-2</v>
      </c>
      <c r="Q155" s="85">
        <f t="shared" si="25"/>
        <v>9.0174746162884151E-2</v>
      </c>
      <c r="R155" s="85">
        <f t="shared" si="25"/>
        <v>9.4702224362661444E-2</v>
      </c>
      <c r="S155" s="85">
        <f t="shared" si="25"/>
        <v>8.4708864446901899E-2</v>
      </c>
      <c r="T155" s="85">
        <f t="shared" si="25"/>
        <v>7.5824188986146457E-2</v>
      </c>
      <c r="U155" s="85">
        <f t="shared" si="25"/>
        <v>8.2760909690394319E-2</v>
      </c>
      <c r="V155" s="85">
        <f t="shared" si="25"/>
        <v>9.0234576626286617E-2</v>
      </c>
      <c r="W155" s="85">
        <f t="shared" si="25"/>
        <v>9.4250247685416261E-2</v>
      </c>
      <c r="X155" s="85">
        <f t="shared" si="25"/>
        <v>0.12415794989727963</v>
      </c>
      <c r="Y155" s="85">
        <f t="shared" si="25"/>
        <v>0.10042787453227554</v>
      </c>
      <c r="Z155" s="85">
        <f t="shared" si="25"/>
        <v>9.4283168561591926E-2</v>
      </c>
      <c r="AA155" s="85">
        <f t="shared" si="25"/>
        <v>0.11044532243325793</v>
      </c>
      <c r="AB155" s="85">
        <f t="shared" si="25"/>
        <v>0.11381085024047309</v>
      </c>
      <c r="AC155" s="85">
        <f t="shared" si="25"/>
        <v>8.8345287000965375E-2</v>
      </c>
      <c r="AD155" s="85">
        <f t="shared" si="25"/>
        <v>9.1736256198868146E-2</v>
      </c>
      <c r="AE155" s="85">
        <f t="shared" si="25"/>
        <v>0.11608571968853118</v>
      </c>
      <c r="AF155" s="85">
        <f t="shared" si="25"/>
        <v>0.10748286295212703</v>
      </c>
      <c r="AG155" s="85">
        <f t="shared" si="25"/>
        <v>0.10702974803073723</v>
      </c>
      <c r="AI155" s="85">
        <f t="shared" ref="AI155:AI156" si="26">AVERAGE(X155:AG155)</f>
        <v>0.10538050395361072</v>
      </c>
    </row>
    <row r="156" spans="2:35" x14ac:dyDescent="0.25">
      <c r="B156" s="7" t="s">
        <v>252</v>
      </c>
      <c r="C156" s="85">
        <f>C134*265/C145</f>
        <v>2.5074225434322635E-2</v>
      </c>
      <c r="D156" s="85">
        <f t="shared" ref="D156:AG156" si="27">D134*265/D145</f>
        <v>2.5074225434322635E-2</v>
      </c>
      <c r="E156" s="85">
        <f t="shared" si="27"/>
        <v>2.9417115482679394E-2</v>
      </c>
      <c r="F156" s="85">
        <f t="shared" si="27"/>
        <v>2.4477879450597536E-2</v>
      </c>
      <c r="G156" s="85">
        <f t="shared" si="27"/>
        <v>2.7571056891596519E-2</v>
      </c>
      <c r="H156" s="85">
        <f t="shared" si="27"/>
        <v>2.8772941921670309E-2</v>
      </c>
      <c r="I156" s="85">
        <f t="shared" si="27"/>
        <v>3.0012816793201971E-2</v>
      </c>
      <c r="J156" s="85">
        <f t="shared" si="27"/>
        <v>3.1182737221853708E-2</v>
      </c>
      <c r="K156" s="85">
        <f t="shared" si="27"/>
        <v>3.898183011749437E-2</v>
      </c>
      <c r="L156" s="85">
        <f t="shared" si="27"/>
        <v>3.8869453781773457E-2</v>
      </c>
      <c r="M156" s="85">
        <f t="shared" si="27"/>
        <v>3.6409830340070677E-2</v>
      </c>
      <c r="N156" s="85">
        <f t="shared" si="27"/>
        <v>3.0655949355526794E-2</v>
      </c>
      <c r="O156" s="85">
        <f t="shared" si="27"/>
        <v>3.386398192162602E-2</v>
      </c>
      <c r="P156" s="85">
        <f t="shared" si="27"/>
        <v>3.3909617577071172E-2</v>
      </c>
      <c r="Q156" s="85">
        <f t="shared" si="27"/>
        <v>3.8861126805906435E-2</v>
      </c>
      <c r="R156" s="85">
        <f t="shared" si="27"/>
        <v>4.4105553958854911E-2</v>
      </c>
      <c r="S156" s="85">
        <f t="shared" si="27"/>
        <v>4.2503668410826423E-2</v>
      </c>
      <c r="T156" s="85">
        <f t="shared" si="27"/>
        <v>4.1049656531196244E-2</v>
      </c>
      <c r="U156" s="85">
        <f t="shared" si="27"/>
        <v>4.7118071212959557E-2</v>
      </c>
      <c r="V156" s="85">
        <f t="shared" si="27"/>
        <v>5.9793544015946942E-2</v>
      </c>
      <c r="W156" s="85">
        <f t="shared" si="27"/>
        <v>6.8698533867131137E-2</v>
      </c>
      <c r="X156" s="85">
        <f t="shared" si="27"/>
        <v>6.577081599572511E-2</v>
      </c>
      <c r="Y156" s="85">
        <f t="shared" si="27"/>
        <v>6.6148894034850567E-2</v>
      </c>
      <c r="Z156" s="85">
        <f t="shared" si="27"/>
        <v>7.9035031373096198E-2</v>
      </c>
      <c r="AA156" s="85">
        <f t="shared" si="27"/>
        <v>8.351306006821313E-2</v>
      </c>
      <c r="AB156" s="85">
        <f t="shared" si="27"/>
        <v>7.0202308273398892E-2</v>
      </c>
      <c r="AC156" s="85">
        <f t="shared" si="27"/>
        <v>6.760316991544417E-2</v>
      </c>
      <c r="AD156" s="85">
        <f t="shared" si="27"/>
        <v>7.1006584144478954E-2</v>
      </c>
      <c r="AE156" s="85">
        <f t="shared" si="27"/>
        <v>6.3054286068186208E-2</v>
      </c>
      <c r="AF156" s="85">
        <f t="shared" si="27"/>
        <v>7.5158475992276499E-2</v>
      </c>
      <c r="AG156" s="85">
        <f t="shared" si="27"/>
        <v>7.9477421535944476E-2</v>
      </c>
      <c r="AI156" s="85">
        <f t="shared" si="26"/>
        <v>7.2097004740161424E-2</v>
      </c>
    </row>
  </sheetData>
  <sheetProtection algorithmName="SHA-512" hashValue="DtGyCrSeOEHFQX1EGRRY3waWIeWkfhdt1Lg0MK/2/M/nEJSkGuvmKWznuCA1gMbB9kHuEMwim5724hpxU2do+Q==" saltValue="sDO+Bw5JGo2w8lQDRXRYQw==" spinCount="100000" sheet="1" objects="1" scenarios="1"/>
  <mergeCells count="3">
    <mergeCell ref="B5:B6"/>
    <mergeCell ref="C6:AG6"/>
    <mergeCell ref="B69:C69"/>
  </mergeCells>
  <dataValidations count="1">
    <dataValidation allowBlank="1" showInputMessage="1" showErrorMessage="1" sqref="AK5:JZ70 AJ1:JY4 AJ71:JY1048576 B74:AH77 B78:C113 F78:AF113 B114:AF65536 D79:E113 AG78:AH65536 AI74:AI1048576" xr:uid="{00000000-0002-0000-1B00-000000000000}"/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H128"/>
  <sheetViews>
    <sheetView workbookViewId="0">
      <selection activeCell="J48" sqref="J48"/>
    </sheetView>
  </sheetViews>
  <sheetFormatPr defaultColWidth="8" defaultRowHeight="11.5" x14ac:dyDescent="0.25"/>
  <cols>
    <col min="1" max="1" width="63.7265625" style="7" customWidth="1"/>
    <col min="2" max="33" width="15.7265625" style="7" customWidth="1"/>
    <col min="34" max="34" width="14.26953125" style="7" customWidth="1"/>
    <col min="35" max="35" width="9.54296875" style="7" customWidth="1"/>
    <col min="36" max="36" width="9.26953125" style="7" customWidth="1"/>
    <col min="37" max="37" width="9" style="7" customWidth="1"/>
    <col min="38" max="38" width="8.54296875" style="7" customWidth="1"/>
    <col min="39" max="40" width="9" style="7" customWidth="1"/>
    <col min="41" max="41" width="9.26953125" style="7" customWidth="1"/>
    <col min="42" max="42" width="9.54296875" style="7" customWidth="1"/>
    <col min="43" max="43" width="9.1796875" style="7" customWidth="1"/>
    <col min="44" max="44" width="9" style="7" customWidth="1"/>
    <col min="45" max="45" width="8.7265625" style="7" customWidth="1"/>
    <col min="46" max="46" width="8.54296875" style="7" customWidth="1"/>
    <col min="47" max="47" width="9.54296875" style="7" customWidth="1"/>
    <col min="48" max="48" width="8" style="7"/>
    <col min="49" max="49" width="9" style="7" customWidth="1"/>
    <col min="50" max="50" width="9.54296875" style="7" customWidth="1"/>
    <col min="51" max="51" width="10.81640625" style="7" customWidth="1"/>
    <col min="52" max="52" width="9.26953125" style="7" customWidth="1"/>
    <col min="53" max="53" width="8.54296875" style="7" customWidth="1"/>
    <col min="54" max="54" width="8.7265625" style="7" customWidth="1"/>
    <col min="55" max="16384" width="8" style="7"/>
  </cols>
  <sheetData>
    <row r="1" spans="1:34" ht="17.25" customHeight="1" x14ac:dyDescent="0.25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 t="s">
        <v>12</v>
      </c>
    </row>
    <row r="2" spans="1:34" ht="15.75" customHeight="1" x14ac:dyDescent="0.25">
      <c r="A2" s="4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14</v>
      </c>
    </row>
    <row r="3" spans="1:34" ht="15.75" customHeight="1" x14ac:dyDescent="0.25">
      <c r="A3" s="4" t="s">
        <v>134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16</v>
      </c>
    </row>
    <row r="4" spans="1:34" ht="12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4" ht="49.5" customHeight="1" x14ac:dyDescent="0.25">
      <c r="A5" s="216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30" t="s">
        <v>49</v>
      </c>
      <c r="AH5" s="31"/>
    </row>
    <row r="6" spans="1:34" ht="12.75" customHeight="1" thickBot="1" x14ac:dyDescent="0.3">
      <c r="A6" s="217"/>
      <c r="B6" s="213" t="s">
        <v>126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12" t="s">
        <v>51</v>
      </c>
      <c r="AH6" s="31"/>
    </row>
    <row r="7" spans="1:34" ht="12" thickTop="1" x14ac:dyDescent="0.25">
      <c r="A7" s="34" t="s">
        <v>53</v>
      </c>
      <c r="B7" s="14">
        <v>24.704515919500931</v>
      </c>
      <c r="C7" s="14">
        <v>24.704515919500931</v>
      </c>
      <c r="D7" s="14">
        <v>23.97941118128335</v>
      </c>
      <c r="E7" s="14">
        <v>21.187651842053491</v>
      </c>
      <c r="F7" s="14">
        <v>20.85626309096757</v>
      </c>
      <c r="G7" s="14">
        <v>19.07991451056148</v>
      </c>
      <c r="H7" s="14">
        <v>17.885442686129561</v>
      </c>
      <c r="I7" s="14">
        <v>17.922206563925371</v>
      </c>
      <c r="J7" s="14">
        <v>16.345700167326392</v>
      </c>
      <c r="K7" s="14">
        <v>16.509404596420129</v>
      </c>
      <c r="L7" s="14">
        <v>14.07937790369628</v>
      </c>
      <c r="M7" s="14">
        <v>14.15079607697238</v>
      </c>
      <c r="N7" s="14">
        <v>14.3127500583347</v>
      </c>
      <c r="O7" s="14">
        <v>13.14752379494688</v>
      </c>
      <c r="P7" s="14">
        <v>39.376342725125539</v>
      </c>
      <c r="Q7" s="14">
        <v>12.83871126369937</v>
      </c>
      <c r="R7" s="14">
        <v>12.89787976360925</v>
      </c>
      <c r="S7" s="14">
        <v>13.04153960895221</v>
      </c>
      <c r="T7" s="14">
        <v>13.12539692283451</v>
      </c>
      <c r="U7" s="14">
        <v>13.18143056724038</v>
      </c>
      <c r="V7" s="14">
        <v>13.17035333141745</v>
      </c>
      <c r="W7" s="14">
        <v>12.93350924817903</v>
      </c>
      <c r="X7" s="14">
        <v>11.839361767966089</v>
      </c>
      <c r="Y7" s="14">
        <v>11.681210388162841</v>
      </c>
      <c r="Z7" s="14">
        <v>12.11745650731061</v>
      </c>
      <c r="AA7" s="14">
        <v>11.16323464438757</v>
      </c>
      <c r="AB7" s="14">
        <v>11.03683822486177</v>
      </c>
      <c r="AC7" s="14">
        <v>10.67716822376128</v>
      </c>
      <c r="AD7" s="14">
        <v>10.580844492025211</v>
      </c>
      <c r="AE7" s="14">
        <v>11.456624229584699</v>
      </c>
      <c r="AF7" s="14">
        <v>10.077349725448119</v>
      </c>
      <c r="AG7" s="14">
        <v>-59.208471203058998</v>
      </c>
      <c r="AH7" s="31"/>
    </row>
    <row r="8" spans="1:34" x14ac:dyDescent="0.25">
      <c r="A8" s="16" t="s">
        <v>54</v>
      </c>
      <c r="B8" s="14">
        <v>20.527948179257709</v>
      </c>
      <c r="C8" s="14">
        <v>20.527948179257709</v>
      </c>
      <c r="D8" s="14">
        <v>20.179366197220151</v>
      </c>
      <c r="E8" s="14">
        <v>17.57624061321869</v>
      </c>
      <c r="F8" s="14">
        <v>17.101887971759339</v>
      </c>
      <c r="G8" s="14">
        <v>15.37995230899042</v>
      </c>
      <c r="H8" s="14">
        <v>14.171015953278269</v>
      </c>
      <c r="I8" s="14">
        <v>14.2039565562731</v>
      </c>
      <c r="J8" s="14">
        <v>12.717117312493061</v>
      </c>
      <c r="K8" s="14">
        <v>13.416095784528739</v>
      </c>
      <c r="L8" s="14">
        <v>10.948539562556491</v>
      </c>
      <c r="M8" s="14">
        <v>10.92450565882389</v>
      </c>
      <c r="N8" s="14">
        <v>10.55773044311651</v>
      </c>
      <c r="O8" s="14">
        <v>10.289458171061311</v>
      </c>
      <c r="P8" s="14">
        <v>9.8173385584985393</v>
      </c>
      <c r="Q8" s="14">
        <v>9.6541204729265502</v>
      </c>
      <c r="R8" s="14">
        <v>10.06224007427166</v>
      </c>
      <c r="S8" s="14">
        <v>9.7468872939821392</v>
      </c>
      <c r="T8" s="14">
        <v>9.5028141353357594</v>
      </c>
      <c r="U8" s="14">
        <v>9.7807178112060207</v>
      </c>
      <c r="V8" s="14">
        <v>9.9544479206203995</v>
      </c>
      <c r="W8" s="14">
        <v>9.4578860559517306</v>
      </c>
      <c r="X8" s="14">
        <v>8.6579147687039804</v>
      </c>
      <c r="Y8" s="14">
        <v>8.5611771717343803</v>
      </c>
      <c r="Z8" s="14">
        <v>9.0725250220960501</v>
      </c>
      <c r="AA8" s="14">
        <v>8.2913490783322406</v>
      </c>
      <c r="AB8" s="14">
        <v>8.1468904953007399</v>
      </c>
      <c r="AC8" s="14">
        <v>7.7924037575030898</v>
      </c>
      <c r="AD8" s="14">
        <v>7.6127367113473001</v>
      </c>
      <c r="AE8" s="14">
        <v>8.2485455064069697</v>
      </c>
      <c r="AF8" s="14">
        <v>6.9982344528544704</v>
      </c>
      <c r="AG8" s="14">
        <v>-65.908748445078999</v>
      </c>
      <c r="AH8" s="31"/>
    </row>
    <row r="9" spans="1:34" x14ac:dyDescent="0.25">
      <c r="A9" s="17" t="s">
        <v>55</v>
      </c>
      <c r="B9" s="18">
        <v>0.26500379147863001</v>
      </c>
      <c r="C9" s="18">
        <v>0.26500379147863001</v>
      </c>
      <c r="D9" s="18">
        <v>0.26513826696418002</v>
      </c>
      <c r="E9" s="18">
        <v>0.26740007277416</v>
      </c>
      <c r="F9" s="18">
        <v>0.29075670116849001</v>
      </c>
      <c r="G9" s="18">
        <v>0.29370326193465002</v>
      </c>
      <c r="H9" s="18">
        <v>0.31332816358087001</v>
      </c>
      <c r="I9" s="18">
        <v>0.35748271170863999</v>
      </c>
      <c r="J9" s="18">
        <v>0.37135239434124001</v>
      </c>
      <c r="K9" s="18">
        <v>0.36851527478772</v>
      </c>
      <c r="L9" s="18">
        <v>0.39859855526679</v>
      </c>
      <c r="M9" s="18">
        <v>0.43758556466658</v>
      </c>
      <c r="N9" s="18">
        <v>0.45903459513643002</v>
      </c>
      <c r="O9" s="18">
        <v>0.43463124299511002</v>
      </c>
      <c r="P9" s="18">
        <v>0.40780545846005001</v>
      </c>
      <c r="Q9" s="18">
        <v>0.36123974993231001</v>
      </c>
      <c r="R9" s="18">
        <v>0.36871322013912</v>
      </c>
      <c r="S9" s="18">
        <v>0.34968259815444003</v>
      </c>
      <c r="T9" s="18">
        <v>0.36007336508519999</v>
      </c>
      <c r="U9" s="18">
        <v>0.29066930069024</v>
      </c>
      <c r="V9" s="18">
        <v>0.28131203706395003</v>
      </c>
      <c r="W9" s="18">
        <v>0.27809227573612999</v>
      </c>
      <c r="X9" s="18">
        <v>0.23405312702660999</v>
      </c>
      <c r="Y9" s="18">
        <v>0.27893431692481002</v>
      </c>
      <c r="Z9" s="18">
        <v>0.26739131771198998</v>
      </c>
      <c r="AA9" s="18">
        <v>0.27322831373452999</v>
      </c>
      <c r="AB9" s="18">
        <v>0.26595503887475003</v>
      </c>
      <c r="AC9" s="19">
        <v>0.30032680249596</v>
      </c>
      <c r="AD9" s="19">
        <v>0.36554388641288998</v>
      </c>
      <c r="AE9" s="19">
        <v>0.44915873692626002</v>
      </c>
      <c r="AF9" s="19">
        <v>0.43300774533280001</v>
      </c>
      <c r="AG9" s="18">
        <v>63.396811387779003</v>
      </c>
      <c r="AH9" s="31"/>
    </row>
    <row r="10" spans="1:34" x14ac:dyDescent="0.25">
      <c r="A10" s="17" t="s">
        <v>56</v>
      </c>
      <c r="B10" s="18">
        <v>0.27222331198553001</v>
      </c>
      <c r="C10" s="18">
        <v>0.27222331198553001</v>
      </c>
      <c r="D10" s="18">
        <v>0.27423038922555998</v>
      </c>
      <c r="E10" s="18">
        <v>0.23018107171637001</v>
      </c>
      <c r="F10" s="18">
        <v>0.2428752039714</v>
      </c>
      <c r="G10" s="18">
        <v>0.23500388857997001</v>
      </c>
      <c r="H10" s="18">
        <v>0.24046947079576</v>
      </c>
      <c r="I10" s="18">
        <v>0.25947931310108002</v>
      </c>
      <c r="J10" s="18">
        <v>0.26267896432544002</v>
      </c>
      <c r="K10" s="18">
        <v>0.28157683654568</v>
      </c>
      <c r="L10" s="18">
        <v>0.28361413364899002</v>
      </c>
      <c r="M10" s="18">
        <v>0.33138950506705001</v>
      </c>
      <c r="N10" s="18">
        <v>0.34865463482156001</v>
      </c>
      <c r="O10" s="18">
        <v>0.33501781063377001</v>
      </c>
      <c r="P10" s="18">
        <v>0.3468493774195</v>
      </c>
      <c r="Q10" s="18">
        <v>0.37894561379789998</v>
      </c>
      <c r="R10" s="18">
        <v>0.43470455801729002</v>
      </c>
      <c r="S10" s="18">
        <v>0.41402511674442</v>
      </c>
      <c r="T10" s="18">
        <v>0.40076303525765</v>
      </c>
      <c r="U10" s="18">
        <v>0.37108210437508998</v>
      </c>
      <c r="V10" s="18">
        <v>0.31404921041505002</v>
      </c>
      <c r="W10" s="18">
        <v>0.33077622332123002</v>
      </c>
      <c r="X10" s="18">
        <v>0.28794410549209998</v>
      </c>
      <c r="Y10" s="18">
        <v>0.26464245350231003</v>
      </c>
      <c r="Z10" s="18">
        <v>0.27150679053160998</v>
      </c>
      <c r="AA10" s="18">
        <v>0.31661744856689</v>
      </c>
      <c r="AB10" s="18">
        <v>0.3179308962563</v>
      </c>
      <c r="AC10" s="19">
        <v>0.30876926815353001</v>
      </c>
      <c r="AD10" s="19">
        <v>0.32988453247324001</v>
      </c>
      <c r="AE10" s="19">
        <v>0.34216043175880001</v>
      </c>
      <c r="AF10" s="19">
        <v>0.32084769551164999</v>
      </c>
      <c r="AG10" s="18">
        <v>17.861946933003999</v>
      </c>
      <c r="AH10" s="31"/>
    </row>
    <row r="11" spans="1:34" x14ac:dyDescent="0.25">
      <c r="A11" s="17" t="s">
        <v>57</v>
      </c>
      <c r="B11" s="18">
        <v>1.9703875127777299</v>
      </c>
      <c r="C11" s="18">
        <v>1.9703875127777299</v>
      </c>
      <c r="D11" s="18">
        <v>2.0250598600221399</v>
      </c>
      <c r="E11" s="18">
        <v>2.0745077893477402</v>
      </c>
      <c r="F11" s="18">
        <v>1.95921582645405</v>
      </c>
      <c r="G11" s="18">
        <v>1.91101854469202</v>
      </c>
      <c r="H11" s="18">
        <v>1.89258463626533</v>
      </c>
      <c r="I11" s="18">
        <v>1.8914649806569801</v>
      </c>
      <c r="J11" s="18">
        <v>1.79472876900755</v>
      </c>
      <c r="K11" s="18">
        <v>1.8793556416783099</v>
      </c>
      <c r="L11" s="18">
        <v>1.8579432972829499</v>
      </c>
      <c r="M11" s="18">
        <v>1.7592938739843</v>
      </c>
      <c r="N11" s="18">
        <v>1.7303149271792</v>
      </c>
      <c r="O11" s="18">
        <v>1.61576669061015</v>
      </c>
      <c r="P11" s="18">
        <v>1.53698591533153</v>
      </c>
      <c r="Q11" s="18">
        <v>1.5234006938153299</v>
      </c>
      <c r="R11" s="18">
        <v>1.53036653993549</v>
      </c>
      <c r="S11" s="18">
        <v>1.45610660598314</v>
      </c>
      <c r="T11" s="18">
        <v>1.3822677262987999</v>
      </c>
      <c r="U11" s="18">
        <v>1.25563270825285</v>
      </c>
      <c r="V11" s="18">
        <v>1.09185604578549</v>
      </c>
      <c r="W11" s="18">
        <v>0.95100134552949001</v>
      </c>
      <c r="X11" s="18">
        <v>0.86747086339165003</v>
      </c>
      <c r="Y11" s="18">
        <v>0.77268326373727003</v>
      </c>
      <c r="Z11" s="18">
        <v>0.72811627982025995</v>
      </c>
      <c r="AA11" s="18">
        <v>0.68694631291883002</v>
      </c>
      <c r="AB11" s="18">
        <v>0.63741858406992002</v>
      </c>
      <c r="AC11" s="19">
        <v>0.58202643419949995</v>
      </c>
      <c r="AD11" s="19">
        <v>0.4964301011542</v>
      </c>
      <c r="AE11" s="19">
        <v>0.44018247631695001</v>
      </c>
      <c r="AF11" s="19">
        <v>0.40074758554182999</v>
      </c>
      <c r="AG11" s="18">
        <v>-79.661483695819996</v>
      </c>
      <c r="AH11" s="31"/>
    </row>
    <row r="12" spans="1:34" x14ac:dyDescent="0.25">
      <c r="A12" s="17" t="s">
        <v>58</v>
      </c>
      <c r="B12" s="18">
        <v>18.020333563015821</v>
      </c>
      <c r="C12" s="18">
        <v>18.020333563015821</v>
      </c>
      <c r="D12" s="18">
        <v>17.614937681008271</v>
      </c>
      <c r="E12" s="18">
        <v>15.004151679380421</v>
      </c>
      <c r="F12" s="18">
        <v>14.609040240165401</v>
      </c>
      <c r="G12" s="18">
        <v>12.94022661378378</v>
      </c>
      <c r="H12" s="18">
        <v>11.724633682636309</v>
      </c>
      <c r="I12" s="18">
        <v>11.6955295508064</v>
      </c>
      <c r="J12" s="18">
        <v>10.28835718481883</v>
      </c>
      <c r="K12" s="18">
        <v>10.88664803151703</v>
      </c>
      <c r="L12" s="18">
        <v>8.4083835763577603</v>
      </c>
      <c r="M12" s="18">
        <v>8.3962367151059603</v>
      </c>
      <c r="N12" s="18">
        <v>8.0197262859793206</v>
      </c>
      <c r="O12" s="18">
        <v>7.9040424268222802</v>
      </c>
      <c r="P12" s="18">
        <v>7.5256978072874601</v>
      </c>
      <c r="Q12" s="18">
        <v>7.3905344153810102</v>
      </c>
      <c r="R12" s="18">
        <v>7.72845575617976</v>
      </c>
      <c r="S12" s="18">
        <v>7.5270729731001396</v>
      </c>
      <c r="T12" s="18">
        <v>7.3597100086941101</v>
      </c>
      <c r="U12" s="18">
        <v>7.8633336978878399</v>
      </c>
      <c r="V12" s="18">
        <v>8.2672306273559109</v>
      </c>
      <c r="W12" s="18">
        <v>7.8980162113648804</v>
      </c>
      <c r="X12" s="18">
        <v>7.2684466727936199</v>
      </c>
      <c r="Y12" s="18">
        <v>7.2449171375699901</v>
      </c>
      <c r="Z12" s="18">
        <v>7.8055106340321903</v>
      </c>
      <c r="AA12" s="18">
        <v>7.0145570031119897</v>
      </c>
      <c r="AB12" s="18">
        <v>6.9255859760997698</v>
      </c>
      <c r="AC12" s="19">
        <v>6.6012812526540996</v>
      </c>
      <c r="AD12" s="19">
        <v>6.4208781913069704</v>
      </c>
      <c r="AE12" s="19">
        <v>7.0170438614049599</v>
      </c>
      <c r="AF12" s="19">
        <v>5.8436314264681899</v>
      </c>
      <c r="AG12" s="18">
        <v>-67.572012992804005</v>
      </c>
      <c r="AH12" s="31"/>
    </row>
    <row r="13" spans="1:34" x14ac:dyDescent="0.25">
      <c r="A13" s="17" t="s">
        <v>59</v>
      </c>
      <c r="B13" s="18" t="s">
        <v>60</v>
      </c>
      <c r="C13" s="18" t="s">
        <v>60</v>
      </c>
      <c r="D13" s="18" t="s">
        <v>60</v>
      </c>
      <c r="E13" s="18" t="s">
        <v>60</v>
      </c>
      <c r="F13" s="18" t="s">
        <v>60</v>
      </c>
      <c r="G13" s="18" t="s">
        <v>60</v>
      </c>
      <c r="H13" s="18" t="s">
        <v>60</v>
      </c>
      <c r="I13" s="18" t="s">
        <v>60</v>
      </c>
      <c r="J13" s="18" t="s">
        <v>60</v>
      </c>
      <c r="K13" s="18" t="s">
        <v>60</v>
      </c>
      <c r="L13" s="18" t="s">
        <v>60</v>
      </c>
      <c r="M13" s="18" t="s">
        <v>60</v>
      </c>
      <c r="N13" s="18" t="s">
        <v>60</v>
      </c>
      <c r="O13" s="18" t="s">
        <v>60</v>
      </c>
      <c r="P13" s="18" t="s">
        <v>60</v>
      </c>
      <c r="Q13" s="18" t="s">
        <v>60</v>
      </c>
      <c r="R13" s="18" t="s">
        <v>60</v>
      </c>
      <c r="S13" s="18" t="s">
        <v>60</v>
      </c>
      <c r="T13" s="18" t="s">
        <v>60</v>
      </c>
      <c r="U13" s="18" t="s">
        <v>60</v>
      </c>
      <c r="V13" s="18" t="s">
        <v>60</v>
      </c>
      <c r="W13" s="18" t="s">
        <v>60</v>
      </c>
      <c r="X13" s="18" t="s">
        <v>60</v>
      </c>
      <c r="Y13" s="18" t="s">
        <v>60</v>
      </c>
      <c r="Z13" s="18" t="s">
        <v>60</v>
      </c>
      <c r="AA13" s="18" t="s">
        <v>60</v>
      </c>
      <c r="AB13" s="18" t="s">
        <v>60</v>
      </c>
      <c r="AC13" s="19" t="s">
        <v>60</v>
      </c>
      <c r="AD13" s="19" t="s">
        <v>60</v>
      </c>
      <c r="AE13" s="19" t="s">
        <v>60</v>
      </c>
      <c r="AF13" s="19" t="s">
        <v>60</v>
      </c>
      <c r="AG13" s="18">
        <v>0</v>
      </c>
      <c r="AH13" s="31"/>
    </row>
    <row r="14" spans="1:34" x14ac:dyDescent="0.25">
      <c r="A14" s="16" t="s">
        <v>61</v>
      </c>
      <c r="B14" s="14">
        <v>4.17656774024322</v>
      </c>
      <c r="C14" s="14">
        <v>4.17656774024322</v>
      </c>
      <c r="D14" s="14">
        <v>3.8000449840632</v>
      </c>
      <c r="E14" s="14">
        <v>3.6114112288347999</v>
      </c>
      <c r="F14" s="14">
        <v>3.75437511920823</v>
      </c>
      <c r="G14" s="14">
        <v>3.69996220157106</v>
      </c>
      <c r="H14" s="14">
        <v>3.7144267328512899</v>
      </c>
      <c r="I14" s="14">
        <v>3.7182500076522702</v>
      </c>
      <c r="J14" s="14">
        <v>3.6285828548333301</v>
      </c>
      <c r="K14" s="14">
        <v>3.0933088118913901</v>
      </c>
      <c r="L14" s="14">
        <v>3.13083834113979</v>
      </c>
      <c r="M14" s="14">
        <v>3.2262904181484902</v>
      </c>
      <c r="N14" s="14">
        <v>3.7550196152181901</v>
      </c>
      <c r="O14" s="14">
        <v>2.8580656238855702</v>
      </c>
      <c r="P14" s="14">
        <v>29.559004166626998</v>
      </c>
      <c r="Q14" s="14">
        <v>3.1845907907728201</v>
      </c>
      <c r="R14" s="14">
        <v>2.8356396893375901</v>
      </c>
      <c r="S14" s="14">
        <v>3.2946523149700702</v>
      </c>
      <c r="T14" s="14">
        <v>3.6225827874987502</v>
      </c>
      <c r="U14" s="14">
        <v>3.40071275603436</v>
      </c>
      <c r="V14" s="14">
        <v>3.2159054107970499</v>
      </c>
      <c r="W14" s="14">
        <v>3.4756231922273</v>
      </c>
      <c r="X14" s="14">
        <v>3.1814469992621102</v>
      </c>
      <c r="Y14" s="14">
        <v>3.1200332164284599</v>
      </c>
      <c r="Z14" s="14">
        <v>3.0449314852145601</v>
      </c>
      <c r="AA14" s="14">
        <v>2.87188556605533</v>
      </c>
      <c r="AB14" s="14">
        <v>2.8899477295610301</v>
      </c>
      <c r="AC14" s="14">
        <v>2.8847644662581899</v>
      </c>
      <c r="AD14" s="14">
        <v>2.9681077806779101</v>
      </c>
      <c r="AE14" s="14">
        <v>3.2080787231777301</v>
      </c>
      <c r="AF14" s="14">
        <v>3.0791152725936501</v>
      </c>
      <c r="AG14" s="14">
        <v>-26.276419680090001</v>
      </c>
      <c r="AH14" s="31"/>
    </row>
    <row r="15" spans="1:34" x14ac:dyDescent="0.25">
      <c r="A15" s="17" t="s">
        <v>62</v>
      </c>
      <c r="B15" s="18">
        <v>2.2222626999999999</v>
      </c>
      <c r="C15" s="18">
        <v>2.2222626999999999</v>
      </c>
      <c r="D15" s="18">
        <v>1.7973755</v>
      </c>
      <c r="E15" s="18">
        <v>1.6296879</v>
      </c>
      <c r="F15" s="18">
        <v>1.505062597222</v>
      </c>
      <c r="G15" s="18">
        <v>1.410015</v>
      </c>
      <c r="H15" s="18">
        <v>1.3331928</v>
      </c>
      <c r="I15" s="18">
        <v>1.2608596000000001</v>
      </c>
      <c r="J15" s="18">
        <v>1.2056583000000001</v>
      </c>
      <c r="K15" s="18">
        <v>1.1584166</v>
      </c>
      <c r="L15" s="18">
        <v>1.1165349</v>
      </c>
      <c r="M15" s="18">
        <v>1.0808306000000001</v>
      </c>
      <c r="N15" s="18">
        <v>1.0475249</v>
      </c>
      <c r="O15" s="18">
        <v>1.0169997</v>
      </c>
      <c r="P15" s="18">
        <v>0.98987139999999996</v>
      </c>
      <c r="Q15" s="18">
        <v>0.96595909999999996</v>
      </c>
      <c r="R15" s="18">
        <v>0.94186590000000003</v>
      </c>
      <c r="S15" s="18">
        <v>0.92180609999999996</v>
      </c>
      <c r="T15" s="18">
        <v>0.90110979999999996</v>
      </c>
      <c r="U15" s="18">
        <v>0.88319400000000003</v>
      </c>
      <c r="V15" s="18">
        <v>0.86635019999999996</v>
      </c>
      <c r="W15" s="18">
        <v>0.84932549999999996</v>
      </c>
      <c r="X15" s="18">
        <v>0.83462570000000003</v>
      </c>
      <c r="Y15" s="18">
        <v>0.81992589999999999</v>
      </c>
      <c r="Z15" s="18">
        <v>0.80586259999999998</v>
      </c>
      <c r="AA15" s="18">
        <v>0.79348770000000002</v>
      </c>
      <c r="AB15" s="18">
        <v>0.78156840000000005</v>
      </c>
      <c r="AC15" s="19">
        <v>0.76964909999999997</v>
      </c>
      <c r="AD15" s="19">
        <v>0.75772980000000001</v>
      </c>
      <c r="AE15" s="19">
        <v>0.74581050000000004</v>
      </c>
      <c r="AF15" s="19">
        <v>0.73389119999999997</v>
      </c>
      <c r="AG15" s="18">
        <v>-66.975497541311995</v>
      </c>
      <c r="AH15" s="31"/>
    </row>
    <row r="16" spans="1:34" x14ac:dyDescent="0.25">
      <c r="A16" s="17" t="s">
        <v>63</v>
      </c>
      <c r="B16" s="18">
        <v>1.95430504024322</v>
      </c>
      <c r="C16" s="18">
        <v>1.95430504024322</v>
      </c>
      <c r="D16" s="18">
        <v>2.0026694840631998</v>
      </c>
      <c r="E16" s="18">
        <v>1.9817233288348</v>
      </c>
      <c r="F16" s="18">
        <v>2.24931252198623</v>
      </c>
      <c r="G16" s="18">
        <v>2.28994720157106</v>
      </c>
      <c r="H16" s="18">
        <v>2.3812339328512899</v>
      </c>
      <c r="I16" s="18">
        <v>2.4573904076522699</v>
      </c>
      <c r="J16" s="18">
        <v>2.42292455483333</v>
      </c>
      <c r="K16" s="18">
        <v>1.93489221189139</v>
      </c>
      <c r="L16" s="18">
        <v>2.01430344113979</v>
      </c>
      <c r="M16" s="18">
        <v>2.1454598181484901</v>
      </c>
      <c r="N16" s="18">
        <v>2.7074947152181901</v>
      </c>
      <c r="O16" s="18">
        <v>1.84106592388557</v>
      </c>
      <c r="P16" s="18">
        <v>28.569132766627</v>
      </c>
      <c r="Q16" s="18">
        <v>2.2186316907728201</v>
      </c>
      <c r="R16" s="18">
        <v>1.8937737893375901</v>
      </c>
      <c r="S16" s="18">
        <v>2.3728462149700702</v>
      </c>
      <c r="T16" s="18">
        <v>2.7214729874987502</v>
      </c>
      <c r="U16" s="18">
        <v>2.5175187560343599</v>
      </c>
      <c r="V16" s="18">
        <v>2.3495552107970501</v>
      </c>
      <c r="W16" s="18">
        <v>2.6262976922273</v>
      </c>
      <c r="X16" s="18">
        <v>2.34682129926211</v>
      </c>
      <c r="Y16" s="18">
        <v>2.30010731642846</v>
      </c>
      <c r="Z16" s="18">
        <v>2.2390688852145599</v>
      </c>
      <c r="AA16" s="18">
        <v>2.0783978660553299</v>
      </c>
      <c r="AB16" s="18">
        <v>2.1083793295610298</v>
      </c>
      <c r="AC16" s="19">
        <v>2.1151153662581899</v>
      </c>
      <c r="AD16" s="19">
        <v>2.2103779806779098</v>
      </c>
      <c r="AE16" s="19">
        <v>2.46226822317773</v>
      </c>
      <c r="AF16" s="19">
        <v>2.3452240725936502</v>
      </c>
      <c r="AG16" s="18">
        <v>20.002969050409</v>
      </c>
      <c r="AH16" s="31"/>
    </row>
    <row r="17" spans="1:34" ht="13.5" x14ac:dyDescent="0.25">
      <c r="A17" s="20" t="s">
        <v>64</v>
      </c>
      <c r="B17" s="25" t="s">
        <v>69</v>
      </c>
      <c r="C17" s="25" t="s">
        <v>69</v>
      </c>
      <c r="D17" s="25" t="s">
        <v>69</v>
      </c>
      <c r="E17" s="25" t="s">
        <v>69</v>
      </c>
      <c r="F17" s="25" t="s">
        <v>69</v>
      </c>
      <c r="G17" s="25" t="s">
        <v>69</v>
      </c>
      <c r="H17" s="25" t="s">
        <v>69</v>
      </c>
      <c r="I17" s="25" t="s">
        <v>69</v>
      </c>
      <c r="J17" s="25" t="s">
        <v>69</v>
      </c>
      <c r="K17" s="25" t="s">
        <v>69</v>
      </c>
      <c r="L17" s="25" t="s">
        <v>69</v>
      </c>
      <c r="M17" s="25" t="s">
        <v>69</v>
      </c>
      <c r="N17" s="25" t="s">
        <v>69</v>
      </c>
      <c r="O17" s="25" t="s">
        <v>69</v>
      </c>
      <c r="P17" s="25" t="s">
        <v>69</v>
      </c>
      <c r="Q17" s="25" t="s">
        <v>69</v>
      </c>
      <c r="R17" s="25" t="s">
        <v>69</v>
      </c>
      <c r="S17" s="25" t="s">
        <v>69</v>
      </c>
      <c r="T17" s="25" t="s">
        <v>69</v>
      </c>
      <c r="U17" s="25" t="s">
        <v>69</v>
      </c>
      <c r="V17" s="25" t="s">
        <v>69</v>
      </c>
      <c r="W17" s="25" t="s">
        <v>69</v>
      </c>
      <c r="X17" s="25" t="s">
        <v>69</v>
      </c>
      <c r="Y17" s="25" t="s">
        <v>69</v>
      </c>
      <c r="Z17" s="25" t="s">
        <v>69</v>
      </c>
      <c r="AA17" s="25" t="s">
        <v>69</v>
      </c>
      <c r="AB17" s="25" t="s">
        <v>69</v>
      </c>
      <c r="AC17" s="25" t="s">
        <v>69</v>
      </c>
      <c r="AD17" s="25" t="s">
        <v>69</v>
      </c>
      <c r="AE17" s="25" t="s">
        <v>69</v>
      </c>
      <c r="AF17" s="25" t="s">
        <v>69</v>
      </c>
      <c r="AG17" s="25" t="s">
        <v>69</v>
      </c>
      <c r="AH17" s="31"/>
    </row>
    <row r="18" spans="1:34" x14ac:dyDescent="0.25">
      <c r="A18" s="15" t="s">
        <v>127</v>
      </c>
      <c r="B18" s="14" t="s">
        <v>65</v>
      </c>
      <c r="C18" s="14" t="s">
        <v>65</v>
      </c>
      <c r="D18" s="14" t="s">
        <v>65</v>
      </c>
      <c r="E18" s="14" t="s">
        <v>65</v>
      </c>
      <c r="F18" s="14" t="s">
        <v>65</v>
      </c>
      <c r="G18" s="14" t="s">
        <v>65</v>
      </c>
      <c r="H18" s="14" t="s">
        <v>65</v>
      </c>
      <c r="I18" s="14" t="s">
        <v>65</v>
      </c>
      <c r="J18" s="14" t="s">
        <v>65</v>
      </c>
      <c r="K18" s="14" t="s">
        <v>65</v>
      </c>
      <c r="L18" s="14" t="s">
        <v>65</v>
      </c>
      <c r="M18" s="14" t="s">
        <v>65</v>
      </c>
      <c r="N18" s="14" t="s">
        <v>65</v>
      </c>
      <c r="O18" s="14" t="s">
        <v>65</v>
      </c>
      <c r="P18" s="14" t="s">
        <v>65</v>
      </c>
      <c r="Q18" s="14" t="s">
        <v>65</v>
      </c>
      <c r="R18" s="14" t="s">
        <v>65</v>
      </c>
      <c r="S18" s="14" t="s">
        <v>65</v>
      </c>
      <c r="T18" s="14" t="s">
        <v>65</v>
      </c>
      <c r="U18" s="14" t="s">
        <v>65</v>
      </c>
      <c r="V18" s="14" t="s">
        <v>65</v>
      </c>
      <c r="W18" s="14" t="s">
        <v>65</v>
      </c>
      <c r="X18" s="14" t="s">
        <v>65</v>
      </c>
      <c r="Y18" s="14" t="s">
        <v>65</v>
      </c>
      <c r="Z18" s="14" t="s">
        <v>65</v>
      </c>
      <c r="AA18" s="14" t="s">
        <v>65</v>
      </c>
      <c r="AB18" s="14" t="s">
        <v>65</v>
      </c>
      <c r="AC18" s="14" t="s">
        <v>65</v>
      </c>
      <c r="AD18" s="14" t="s">
        <v>65</v>
      </c>
      <c r="AE18" s="14" t="s">
        <v>65</v>
      </c>
      <c r="AF18" s="14" t="s">
        <v>65</v>
      </c>
      <c r="AG18" s="14">
        <v>0</v>
      </c>
      <c r="AH18" s="31"/>
    </row>
    <row r="19" spans="1:34" x14ac:dyDescent="0.25">
      <c r="A19" s="20" t="s">
        <v>67</v>
      </c>
      <c r="B19" s="25" t="s">
        <v>69</v>
      </c>
      <c r="C19" s="25" t="s">
        <v>69</v>
      </c>
      <c r="D19" s="25" t="s">
        <v>69</v>
      </c>
      <c r="E19" s="25" t="s">
        <v>69</v>
      </c>
      <c r="F19" s="25" t="s">
        <v>69</v>
      </c>
      <c r="G19" s="25" t="s">
        <v>69</v>
      </c>
      <c r="H19" s="25" t="s">
        <v>69</v>
      </c>
      <c r="I19" s="25" t="s">
        <v>69</v>
      </c>
      <c r="J19" s="25" t="s">
        <v>69</v>
      </c>
      <c r="K19" s="25" t="s">
        <v>69</v>
      </c>
      <c r="L19" s="25" t="s">
        <v>69</v>
      </c>
      <c r="M19" s="25" t="s">
        <v>69</v>
      </c>
      <c r="N19" s="25" t="s">
        <v>69</v>
      </c>
      <c r="O19" s="25" t="s">
        <v>69</v>
      </c>
      <c r="P19" s="25" t="s">
        <v>69</v>
      </c>
      <c r="Q19" s="25" t="s">
        <v>69</v>
      </c>
      <c r="R19" s="25" t="s">
        <v>69</v>
      </c>
      <c r="S19" s="25" t="s">
        <v>69</v>
      </c>
      <c r="T19" s="25" t="s">
        <v>69</v>
      </c>
      <c r="U19" s="25" t="s">
        <v>69</v>
      </c>
      <c r="V19" s="25" t="s">
        <v>69</v>
      </c>
      <c r="W19" s="25" t="s">
        <v>69</v>
      </c>
      <c r="X19" s="25" t="s">
        <v>69</v>
      </c>
      <c r="Y19" s="25" t="s">
        <v>69</v>
      </c>
      <c r="Z19" s="25" t="s">
        <v>69</v>
      </c>
      <c r="AA19" s="25" t="s">
        <v>69</v>
      </c>
      <c r="AB19" s="25" t="s">
        <v>69</v>
      </c>
      <c r="AC19" s="25" t="s">
        <v>69</v>
      </c>
      <c r="AD19" s="25" t="s">
        <v>69</v>
      </c>
      <c r="AE19" s="25" t="s">
        <v>69</v>
      </c>
      <c r="AF19" s="25" t="s">
        <v>69</v>
      </c>
      <c r="AG19" s="25" t="s">
        <v>69</v>
      </c>
      <c r="AH19" s="31"/>
    </row>
    <row r="20" spans="1:34" x14ac:dyDescent="0.25">
      <c r="A20" s="20" t="s">
        <v>68</v>
      </c>
      <c r="B20" s="18" t="s">
        <v>65</v>
      </c>
      <c r="C20" s="18" t="s">
        <v>65</v>
      </c>
      <c r="D20" s="18" t="s">
        <v>65</v>
      </c>
      <c r="E20" s="18" t="s">
        <v>65</v>
      </c>
      <c r="F20" s="18" t="s">
        <v>65</v>
      </c>
      <c r="G20" s="18" t="s">
        <v>65</v>
      </c>
      <c r="H20" s="18" t="s">
        <v>65</v>
      </c>
      <c r="I20" s="18" t="s">
        <v>65</v>
      </c>
      <c r="J20" s="18" t="s">
        <v>65</v>
      </c>
      <c r="K20" s="18" t="s">
        <v>65</v>
      </c>
      <c r="L20" s="18" t="s">
        <v>65</v>
      </c>
      <c r="M20" s="18" t="s">
        <v>65</v>
      </c>
      <c r="N20" s="18" t="s">
        <v>65</v>
      </c>
      <c r="O20" s="18" t="s">
        <v>65</v>
      </c>
      <c r="P20" s="18" t="s">
        <v>65</v>
      </c>
      <c r="Q20" s="18" t="s">
        <v>65</v>
      </c>
      <c r="R20" s="18" t="s">
        <v>65</v>
      </c>
      <c r="S20" s="18" t="s">
        <v>65</v>
      </c>
      <c r="T20" s="18" t="s">
        <v>65</v>
      </c>
      <c r="U20" s="18" t="s">
        <v>65</v>
      </c>
      <c r="V20" s="18" t="s">
        <v>65</v>
      </c>
      <c r="W20" s="18" t="s">
        <v>65</v>
      </c>
      <c r="X20" s="18" t="s">
        <v>65</v>
      </c>
      <c r="Y20" s="18" t="s">
        <v>65</v>
      </c>
      <c r="Z20" s="18" t="s">
        <v>65</v>
      </c>
      <c r="AA20" s="18" t="s">
        <v>65</v>
      </c>
      <c r="AB20" s="18" t="s">
        <v>65</v>
      </c>
      <c r="AC20" s="19" t="s">
        <v>65</v>
      </c>
      <c r="AD20" s="19" t="s">
        <v>65</v>
      </c>
      <c r="AE20" s="19" t="s">
        <v>65</v>
      </c>
      <c r="AF20" s="19" t="s">
        <v>65</v>
      </c>
      <c r="AG20" s="18">
        <v>0</v>
      </c>
      <c r="AH20" s="31"/>
    </row>
    <row r="21" spans="1:34" x14ac:dyDescent="0.25">
      <c r="A21" s="20" t="s">
        <v>70</v>
      </c>
      <c r="B21" s="18" t="s">
        <v>65</v>
      </c>
      <c r="C21" s="18" t="s">
        <v>65</v>
      </c>
      <c r="D21" s="18" t="s">
        <v>65</v>
      </c>
      <c r="E21" s="18" t="s">
        <v>65</v>
      </c>
      <c r="F21" s="18" t="s">
        <v>65</v>
      </c>
      <c r="G21" s="18" t="s">
        <v>65</v>
      </c>
      <c r="H21" s="18" t="s">
        <v>65</v>
      </c>
      <c r="I21" s="18" t="s">
        <v>65</v>
      </c>
      <c r="J21" s="18" t="s">
        <v>65</v>
      </c>
      <c r="K21" s="18" t="s">
        <v>65</v>
      </c>
      <c r="L21" s="18" t="s">
        <v>65</v>
      </c>
      <c r="M21" s="18" t="s">
        <v>65</v>
      </c>
      <c r="N21" s="18" t="s">
        <v>65</v>
      </c>
      <c r="O21" s="18" t="s">
        <v>65</v>
      </c>
      <c r="P21" s="18" t="s">
        <v>65</v>
      </c>
      <c r="Q21" s="18" t="s">
        <v>65</v>
      </c>
      <c r="R21" s="18" t="s">
        <v>65</v>
      </c>
      <c r="S21" s="18" t="s">
        <v>65</v>
      </c>
      <c r="T21" s="18" t="s">
        <v>65</v>
      </c>
      <c r="U21" s="18" t="s">
        <v>65</v>
      </c>
      <c r="V21" s="18" t="s">
        <v>65</v>
      </c>
      <c r="W21" s="18" t="s">
        <v>65</v>
      </c>
      <c r="X21" s="18" t="s">
        <v>65</v>
      </c>
      <c r="Y21" s="18" t="s">
        <v>65</v>
      </c>
      <c r="Z21" s="18" t="s">
        <v>65</v>
      </c>
      <c r="AA21" s="18" t="s">
        <v>65</v>
      </c>
      <c r="AB21" s="18" t="s">
        <v>65</v>
      </c>
      <c r="AC21" s="19" t="s">
        <v>65</v>
      </c>
      <c r="AD21" s="19" t="s">
        <v>65</v>
      </c>
      <c r="AE21" s="19" t="s">
        <v>65</v>
      </c>
      <c r="AF21" s="19" t="s">
        <v>65</v>
      </c>
      <c r="AG21" s="18">
        <v>0</v>
      </c>
      <c r="AH21" s="31"/>
    </row>
    <row r="22" spans="1:34" x14ac:dyDescent="0.25">
      <c r="A22" s="21" t="s">
        <v>71</v>
      </c>
      <c r="B22" s="18" t="s">
        <v>65</v>
      </c>
      <c r="C22" s="18" t="s">
        <v>65</v>
      </c>
      <c r="D22" s="18" t="s">
        <v>65</v>
      </c>
      <c r="E22" s="18" t="s">
        <v>65</v>
      </c>
      <c r="F22" s="18" t="s">
        <v>65</v>
      </c>
      <c r="G22" s="18" t="s">
        <v>65</v>
      </c>
      <c r="H22" s="18" t="s">
        <v>65</v>
      </c>
      <c r="I22" s="18" t="s">
        <v>65</v>
      </c>
      <c r="J22" s="18" t="s">
        <v>65</v>
      </c>
      <c r="K22" s="18" t="s">
        <v>65</v>
      </c>
      <c r="L22" s="18" t="s">
        <v>65</v>
      </c>
      <c r="M22" s="18" t="s">
        <v>65</v>
      </c>
      <c r="N22" s="18" t="s">
        <v>65</v>
      </c>
      <c r="O22" s="18" t="s">
        <v>65</v>
      </c>
      <c r="P22" s="18" t="s">
        <v>65</v>
      </c>
      <c r="Q22" s="18" t="s">
        <v>65</v>
      </c>
      <c r="R22" s="18" t="s">
        <v>65</v>
      </c>
      <c r="S22" s="18" t="s">
        <v>65</v>
      </c>
      <c r="T22" s="18" t="s">
        <v>65</v>
      </c>
      <c r="U22" s="18" t="s">
        <v>65</v>
      </c>
      <c r="V22" s="18" t="s">
        <v>65</v>
      </c>
      <c r="W22" s="18" t="s">
        <v>65</v>
      </c>
      <c r="X22" s="18" t="s">
        <v>65</v>
      </c>
      <c r="Y22" s="18" t="s">
        <v>65</v>
      </c>
      <c r="Z22" s="18" t="s">
        <v>65</v>
      </c>
      <c r="AA22" s="18" t="s">
        <v>65</v>
      </c>
      <c r="AB22" s="18" t="s">
        <v>65</v>
      </c>
      <c r="AC22" s="19" t="s">
        <v>65</v>
      </c>
      <c r="AD22" s="19" t="s">
        <v>65</v>
      </c>
      <c r="AE22" s="19" t="s">
        <v>65</v>
      </c>
      <c r="AF22" s="19" t="s">
        <v>65</v>
      </c>
      <c r="AG22" s="18">
        <v>0</v>
      </c>
      <c r="AH22" s="31"/>
    </row>
    <row r="23" spans="1:34" x14ac:dyDescent="0.25">
      <c r="A23" s="20" t="s">
        <v>72</v>
      </c>
      <c r="B23" s="25" t="s">
        <v>69</v>
      </c>
      <c r="C23" s="25" t="s">
        <v>69</v>
      </c>
      <c r="D23" s="25" t="s">
        <v>69</v>
      </c>
      <c r="E23" s="25" t="s">
        <v>69</v>
      </c>
      <c r="F23" s="25" t="s">
        <v>69</v>
      </c>
      <c r="G23" s="25" t="s">
        <v>69</v>
      </c>
      <c r="H23" s="25" t="s">
        <v>69</v>
      </c>
      <c r="I23" s="25" t="s">
        <v>69</v>
      </c>
      <c r="J23" s="25" t="s">
        <v>69</v>
      </c>
      <c r="K23" s="25" t="s">
        <v>69</v>
      </c>
      <c r="L23" s="25" t="s">
        <v>69</v>
      </c>
      <c r="M23" s="25" t="s">
        <v>69</v>
      </c>
      <c r="N23" s="25" t="s">
        <v>69</v>
      </c>
      <c r="O23" s="25" t="s">
        <v>69</v>
      </c>
      <c r="P23" s="25" t="s">
        <v>69</v>
      </c>
      <c r="Q23" s="25" t="s">
        <v>69</v>
      </c>
      <c r="R23" s="25" t="s">
        <v>69</v>
      </c>
      <c r="S23" s="25" t="s">
        <v>69</v>
      </c>
      <c r="T23" s="25" t="s">
        <v>69</v>
      </c>
      <c r="U23" s="25" t="s">
        <v>69</v>
      </c>
      <c r="V23" s="25" t="s">
        <v>69</v>
      </c>
      <c r="W23" s="25" t="s">
        <v>69</v>
      </c>
      <c r="X23" s="25" t="s">
        <v>69</v>
      </c>
      <c r="Y23" s="25" t="s">
        <v>69</v>
      </c>
      <c r="Z23" s="25" t="s">
        <v>69</v>
      </c>
      <c r="AA23" s="25" t="s">
        <v>69</v>
      </c>
      <c r="AB23" s="25" t="s">
        <v>69</v>
      </c>
      <c r="AC23" s="25" t="s">
        <v>69</v>
      </c>
      <c r="AD23" s="25" t="s">
        <v>69</v>
      </c>
      <c r="AE23" s="25" t="s">
        <v>69</v>
      </c>
      <c r="AF23" s="25" t="s">
        <v>69</v>
      </c>
      <c r="AG23" s="25" t="s">
        <v>69</v>
      </c>
      <c r="AH23" s="31"/>
    </row>
    <row r="24" spans="1:34" x14ac:dyDescent="0.25">
      <c r="A24" s="21" t="s">
        <v>73</v>
      </c>
      <c r="B24" s="25" t="s">
        <v>69</v>
      </c>
      <c r="C24" s="25" t="s">
        <v>69</v>
      </c>
      <c r="D24" s="25" t="s">
        <v>69</v>
      </c>
      <c r="E24" s="25" t="s">
        <v>69</v>
      </c>
      <c r="F24" s="25" t="s">
        <v>69</v>
      </c>
      <c r="G24" s="25" t="s">
        <v>69</v>
      </c>
      <c r="H24" s="25" t="s">
        <v>69</v>
      </c>
      <c r="I24" s="25" t="s">
        <v>69</v>
      </c>
      <c r="J24" s="25" t="s">
        <v>69</v>
      </c>
      <c r="K24" s="25" t="s">
        <v>69</v>
      </c>
      <c r="L24" s="25" t="s">
        <v>69</v>
      </c>
      <c r="M24" s="25" t="s">
        <v>69</v>
      </c>
      <c r="N24" s="25" t="s">
        <v>69</v>
      </c>
      <c r="O24" s="25" t="s">
        <v>69</v>
      </c>
      <c r="P24" s="25" t="s">
        <v>69</v>
      </c>
      <c r="Q24" s="25" t="s">
        <v>69</v>
      </c>
      <c r="R24" s="25" t="s">
        <v>69</v>
      </c>
      <c r="S24" s="25" t="s">
        <v>69</v>
      </c>
      <c r="T24" s="25" t="s">
        <v>69</v>
      </c>
      <c r="U24" s="25" t="s">
        <v>69</v>
      </c>
      <c r="V24" s="25" t="s">
        <v>69</v>
      </c>
      <c r="W24" s="25" t="s">
        <v>69</v>
      </c>
      <c r="X24" s="25" t="s">
        <v>69</v>
      </c>
      <c r="Y24" s="25" t="s">
        <v>69</v>
      </c>
      <c r="Z24" s="25" t="s">
        <v>69</v>
      </c>
      <c r="AA24" s="25" t="s">
        <v>69</v>
      </c>
      <c r="AB24" s="25" t="s">
        <v>69</v>
      </c>
      <c r="AC24" s="25" t="s">
        <v>69</v>
      </c>
      <c r="AD24" s="25" t="s">
        <v>69</v>
      </c>
      <c r="AE24" s="25" t="s">
        <v>69</v>
      </c>
      <c r="AF24" s="25" t="s">
        <v>69</v>
      </c>
      <c r="AG24" s="25" t="s">
        <v>69</v>
      </c>
      <c r="AH24" s="31"/>
    </row>
    <row r="25" spans="1:34" x14ac:dyDescent="0.25">
      <c r="A25" s="21" t="s">
        <v>74</v>
      </c>
      <c r="B25" s="18" t="s">
        <v>65</v>
      </c>
      <c r="C25" s="18" t="s">
        <v>65</v>
      </c>
      <c r="D25" s="18" t="s">
        <v>65</v>
      </c>
      <c r="E25" s="18" t="s">
        <v>65</v>
      </c>
      <c r="F25" s="18" t="s">
        <v>65</v>
      </c>
      <c r="G25" s="18" t="s">
        <v>65</v>
      </c>
      <c r="H25" s="18" t="s">
        <v>65</v>
      </c>
      <c r="I25" s="18" t="s">
        <v>65</v>
      </c>
      <c r="J25" s="18" t="s">
        <v>65</v>
      </c>
      <c r="K25" s="18" t="s">
        <v>65</v>
      </c>
      <c r="L25" s="18" t="s">
        <v>65</v>
      </c>
      <c r="M25" s="18" t="s">
        <v>65</v>
      </c>
      <c r="N25" s="18" t="s">
        <v>65</v>
      </c>
      <c r="O25" s="18" t="s">
        <v>65</v>
      </c>
      <c r="P25" s="18" t="s">
        <v>65</v>
      </c>
      <c r="Q25" s="18" t="s">
        <v>65</v>
      </c>
      <c r="R25" s="18" t="s">
        <v>65</v>
      </c>
      <c r="S25" s="18" t="s">
        <v>65</v>
      </c>
      <c r="T25" s="18" t="s">
        <v>65</v>
      </c>
      <c r="U25" s="18" t="s">
        <v>65</v>
      </c>
      <c r="V25" s="18" t="s">
        <v>65</v>
      </c>
      <c r="W25" s="18" t="s">
        <v>65</v>
      </c>
      <c r="X25" s="18" t="s">
        <v>65</v>
      </c>
      <c r="Y25" s="18" t="s">
        <v>65</v>
      </c>
      <c r="Z25" s="18" t="s">
        <v>65</v>
      </c>
      <c r="AA25" s="18" t="s">
        <v>65</v>
      </c>
      <c r="AB25" s="18" t="s">
        <v>65</v>
      </c>
      <c r="AC25" s="19" t="s">
        <v>65</v>
      </c>
      <c r="AD25" s="19" t="s">
        <v>65</v>
      </c>
      <c r="AE25" s="19" t="s">
        <v>65</v>
      </c>
      <c r="AF25" s="19" t="s">
        <v>65</v>
      </c>
      <c r="AG25" s="18">
        <v>0</v>
      </c>
      <c r="AH25" s="31"/>
    </row>
    <row r="26" spans="1:34" x14ac:dyDescent="0.25">
      <c r="A26" s="20" t="s">
        <v>75</v>
      </c>
      <c r="B26" s="18" t="s">
        <v>65</v>
      </c>
      <c r="C26" s="18" t="s">
        <v>65</v>
      </c>
      <c r="D26" s="18" t="s">
        <v>65</v>
      </c>
      <c r="E26" s="18" t="s">
        <v>65</v>
      </c>
      <c r="F26" s="18" t="s">
        <v>65</v>
      </c>
      <c r="G26" s="18" t="s">
        <v>65</v>
      </c>
      <c r="H26" s="18" t="s">
        <v>65</v>
      </c>
      <c r="I26" s="18" t="s">
        <v>65</v>
      </c>
      <c r="J26" s="18" t="s">
        <v>65</v>
      </c>
      <c r="K26" s="18" t="s">
        <v>65</v>
      </c>
      <c r="L26" s="18" t="s">
        <v>65</v>
      </c>
      <c r="M26" s="18" t="s">
        <v>65</v>
      </c>
      <c r="N26" s="18" t="s">
        <v>65</v>
      </c>
      <c r="O26" s="18" t="s">
        <v>65</v>
      </c>
      <c r="P26" s="18" t="s">
        <v>65</v>
      </c>
      <c r="Q26" s="18" t="s">
        <v>65</v>
      </c>
      <c r="R26" s="18" t="s">
        <v>65</v>
      </c>
      <c r="S26" s="18" t="s">
        <v>65</v>
      </c>
      <c r="T26" s="18" t="s">
        <v>65</v>
      </c>
      <c r="U26" s="18" t="s">
        <v>65</v>
      </c>
      <c r="V26" s="18" t="s">
        <v>65</v>
      </c>
      <c r="W26" s="18" t="s">
        <v>65</v>
      </c>
      <c r="X26" s="18" t="s">
        <v>65</v>
      </c>
      <c r="Y26" s="18" t="s">
        <v>65</v>
      </c>
      <c r="Z26" s="18" t="s">
        <v>65</v>
      </c>
      <c r="AA26" s="18" t="s">
        <v>65</v>
      </c>
      <c r="AB26" s="18" t="s">
        <v>65</v>
      </c>
      <c r="AC26" s="19" t="s">
        <v>65</v>
      </c>
      <c r="AD26" s="19" t="s">
        <v>65</v>
      </c>
      <c r="AE26" s="19" t="s">
        <v>65</v>
      </c>
      <c r="AF26" s="19" t="s">
        <v>65</v>
      </c>
      <c r="AG26" s="18">
        <v>0</v>
      </c>
      <c r="AH26" s="31"/>
    </row>
    <row r="27" spans="1:34" x14ac:dyDescent="0.25">
      <c r="A27" s="22" t="s">
        <v>76</v>
      </c>
      <c r="B27" s="14">
        <v>470.16874451957005</v>
      </c>
      <c r="C27" s="14">
        <v>470.16874451957005</v>
      </c>
      <c r="D27" s="14">
        <v>479.24431850645732</v>
      </c>
      <c r="E27" s="14">
        <v>488.10142981228455</v>
      </c>
      <c r="F27" s="14">
        <v>492.34236659020274</v>
      </c>
      <c r="G27" s="14">
        <v>493.5941750749858</v>
      </c>
      <c r="H27" s="14">
        <v>498.11222002208041</v>
      </c>
      <c r="I27" s="14">
        <v>515.88018483703377</v>
      </c>
      <c r="J27" s="14">
        <v>531.03665552309053</v>
      </c>
      <c r="K27" s="14">
        <v>541.52440392641654</v>
      </c>
      <c r="L27" s="14">
        <v>528.03354450850281</v>
      </c>
      <c r="M27" s="14">
        <v>508.03175135981115</v>
      </c>
      <c r="N27" s="14">
        <v>509.20493588384238</v>
      </c>
      <c r="O27" s="14">
        <v>507.26737100162342</v>
      </c>
      <c r="P27" s="14">
        <v>508.39145342471102</v>
      </c>
      <c r="Q27" s="14">
        <v>505.36668805932885</v>
      </c>
      <c r="R27" s="14">
        <v>505.22374644850333</v>
      </c>
      <c r="S27" s="14">
        <v>509.04325141460669</v>
      </c>
      <c r="T27" s="14">
        <v>492.99388132545783</v>
      </c>
      <c r="U27" s="14">
        <v>493.46221579987798</v>
      </c>
      <c r="V27" s="14">
        <v>485.95921873698205</v>
      </c>
      <c r="W27" s="14">
        <v>475.8832933851067</v>
      </c>
      <c r="X27" s="14">
        <v>470.60151886860496</v>
      </c>
      <c r="Y27" s="14">
        <v>499.35763151690838</v>
      </c>
      <c r="Z27" s="14">
        <v>503.89925217197555</v>
      </c>
      <c r="AA27" s="14">
        <v>500.1731122404961</v>
      </c>
      <c r="AB27" s="14">
        <v>518.38702262762763</v>
      </c>
      <c r="AC27" s="14">
        <v>533.21097900762049</v>
      </c>
      <c r="AD27" s="14">
        <v>550.59988950839795</v>
      </c>
      <c r="AE27" s="14">
        <v>563.31714539354164</v>
      </c>
      <c r="AF27" s="14">
        <v>548.93919920787016</v>
      </c>
      <c r="AG27" s="14">
        <v>16.75365613016</v>
      </c>
      <c r="AH27" s="31"/>
    </row>
    <row r="28" spans="1:34" x14ac:dyDescent="0.25">
      <c r="A28" s="16" t="s">
        <v>77</v>
      </c>
      <c r="B28" s="18">
        <v>418.64266774504307</v>
      </c>
      <c r="C28" s="18">
        <v>418.64266774504307</v>
      </c>
      <c r="D28" s="18">
        <v>426.42190714049957</v>
      </c>
      <c r="E28" s="18">
        <v>434.08008691351114</v>
      </c>
      <c r="F28" s="18">
        <v>437.69305852632471</v>
      </c>
      <c r="G28" s="18">
        <v>439.05866556743877</v>
      </c>
      <c r="H28" s="18">
        <v>443.43734941652161</v>
      </c>
      <c r="I28" s="18">
        <v>458.80848298786543</v>
      </c>
      <c r="J28" s="18">
        <v>472.47480899236234</v>
      </c>
      <c r="K28" s="18">
        <v>481.61475280378966</v>
      </c>
      <c r="L28" s="18">
        <v>469.70606060503547</v>
      </c>
      <c r="M28" s="18">
        <v>451.83080541442371</v>
      </c>
      <c r="N28" s="18">
        <v>452.34840523606925</v>
      </c>
      <c r="O28" s="18">
        <v>450.58414510811042</v>
      </c>
      <c r="P28" s="18">
        <v>452.10975582638343</v>
      </c>
      <c r="Q28" s="18">
        <v>449.65022694444764</v>
      </c>
      <c r="R28" s="18">
        <v>448.69323605891219</v>
      </c>
      <c r="S28" s="18">
        <v>452.18841778347632</v>
      </c>
      <c r="T28" s="18">
        <v>438.0538566146916</v>
      </c>
      <c r="U28" s="18">
        <v>438.59600583955518</v>
      </c>
      <c r="V28" s="18">
        <v>431.56532601548804</v>
      </c>
      <c r="W28" s="18">
        <v>422.18677161187441</v>
      </c>
      <c r="X28" s="18">
        <v>416.77319524217108</v>
      </c>
      <c r="Y28" s="18">
        <v>441.7210972170206</v>
      </c>
      <c r="Z28" s="18">
        <v>445.78092260686554</v>
      </c>
      <c r="AA28" s="18">
        <v>442.54765257812318</v>
      </c>
      <c r="AB28" s="18">
        <v>458.54626752444199</v>
      </c>
      <c r="AC28" s="19">
        <v>471.59756325344705</v>
      </c>
      <c r="AD28" s="19">
        <v>487.30478523691636</v>
      </c>
      <c r="AE28" s="19">
        <v>498.58550999952536</v>
      </c>
      <c r="AF28" s="19">
        <v>486.04842855079778</v>
      </c>
      <c r="AG28" s="18">
        <v>16.10102505051</v>
      </c>
      <c r="AH28" s="31"/>
    </row>
    <row r="29" spans="1:34" x14ac:dyDescent="0.25">
      <c r="A29" s="16" t="s">
        <v>78</v>
      </c>
      <c r="B29" s="18">
        <v>51.526076774526992</v>
      </c>
      <c r="C29" s="18">
        <v>51.526076774526992</v>
      </c>
      <c r="D29" s="18">
        <v>52.822411365957741</v>
      </c>
      <c r="E29" s="18">
        <v>54.021342898773398</v>
      </c>
      <c r="F29" s="18">
        <v>54.649308063877989</v>
      </c>
      <c r="G29" s="18">
        <v>54.535509507547069</v>
      </c>
      <c r="H29" s="18">
        <v>54.674870605558759</v>
      </c>
      <c r="I29" s="18">
        <v>57.071701849168321</v>
      </c>
      <c r="J29" s="18">
        <v>58.561846530728211</v>
      </c>
      <c r="K29" s="18">
        <v>59.909651122626933</v>
      </c>
      <c r="L29" s="18">
        <v>58.327483903467268</v>
      </c>
      <c r="M29" s="18">
        <v>56.200945945387467</v>
      </c>
      <c r="N29" s="18">
        <v>56.856530647773113</v>
      </c>
      <c r="O29" s="18">
        <v>56.68322589351299</v>
      </c>
      <c r="P29" s="18">
        <v>56.281697598327568</v>
      </c>
      <c r="Q29" s="18">
        <v>55.716461114881213</v>
      </c>
      <c r="R29" s="18">
        <v>56.530510389591129</v>
      </c>
      <c r="S29" s="18">
        <v>56.854833631130369</v>
      </c>
      <c r="T29" s="18">
        <v>54.940024710766252</v>
      </c>
      <c r="U29" s="18">
        <v>54.86620996032277</v>
      </c>
      <c r="V29" s="18">
        <v>54.393892721494041</v>
      </c>
      <c r="W29" s="18">
        <v>53.696521773232298</v>
      </c>
      <c r="X29" s="18">
        <v>53.82832362643385</v>
      </c>
      <c r="Y29" s="18">
        <v>57.636534299887813</v>
      </c>
      <c r="Z29" s="18">
        <v>58.118329565110038</v>
      </c>
      <c r="AA29" s="18">
        <v>57.625459662372911</v>
      </c>
      <c r="AB29" s="18">
        <v>59.840755103185657</v>
      </c>
      <c r="AC29" s="19">
        <v>61.613415754173438</v>
      </c>
      <c r="AD29" s="19">
        <v>63.29510427148157</v>
      </c>
      <c r="AE29" s="19">
        <v>64.731635394016266</v>
      </c>
      <c r="AF29" s="19">
        <v>62.890770657072387</v>
      </c>
      <c r="AG29" s="18">
        <v>22.056198713276999</v>
      </c>
      <c r="AH29" s="31"/>
    </row>
    <row r="30" spans="1:34" x14ac:dyDescent="0.25">
      <c r="A30" s="16" t="s">
        <v>79</v>
      </c>
      <c r="B30" s="18" t="s">
        <v>65</v>
      </c>
      <c r="C30" s="18" t="s">
        <v>65</v>
      </c>
      <c r="D30" s="18" t="s">
        <v>65</v>
      </c>
      <c r="E30" s="18" t="s">
        <v>65</v>
      </c>
      <c r="F30" s="18" t="s">
        <v>65</v>
      </c>
      <c r="G30" s="18" t="s">
        <v>65</v>
      </c>
      <c r="H30" s="18" t="s">
        <v>65</v>
      </c>
      <c r="I30" s="18" t="s">
        <v>65</v>
      </c>
      <c r="J30" s="18" t="s">
        <v>65</v>
      </c>
      <c r="K30" s="18" t="s">
        <v>65</v>
      </c>
      <c r="L30" s="18" t="s">
        <v>65</v>
      </c>
      <c r="M30" s="18" t="s">
        <v>65</v>
      </c>
      <c r="N30" s="18" t="s">
        <v>65</v>
      </c>
      <c r="O30" s="18" t="s">
        <v>65</v>
      </c>
      <c r="P30" s="18" t="s">
        <v>65</v>
      </c>
      <c r="Q30" s="18" t="s">
        <v>65</v>
      </c>
      <c r="R30" s="18" t="s">
        <v>65</v>
      </c>
      <c r="S30" s="18" t="s">
        <v>65</v>
      </c>
      <c r="T30" s="18" t="s">
        <v>65</v>
      </c>
      <c r="U30" s="18" t="s">
        <v>65</v>
      </c>
      <c r="V30" s="18" t="s">
        <v>65</v>
      </c>
      <c r="W30" s="18" t="s">
        <v>65</v>
      </c>
      <c r="X30" s="18" t="s">
        <v>65</v>
      </c>
      <c r="Y30" s="18" t="s">
        <v>65</v>
      </c>
      <c r="Z30" s="18" t="s">
        <v>65</v>
      </c>
      <c r="AA30" s="18" t="s">
        <v>65</v>
      </c>
      <c r="AB30" s="18" t="s">
        <v>65</v>
      </c>
      <c r="AC30" s="19" t="s">
        <v>65</v>
      </c>
      <c r="AD30" s="19" t="s">
        <v>65</v>
      </c>
      <c r="AE30" s="19" t="s">
        <v>65</v>
      </c>
      <c r="AF30" s="19" t="s">
        <v>65</v>
      </c>
      <c r="AG30" s="18">
        <v>0</v>
      </c>
      <c r="AH30" s="31"/>
    </row>
    <row r="31" spans="1:34" x14ac:dyDescent="0.25">
      <c r="A31" s="16" t="s">
        <v>80</v>
      </c>
      <c r="B31" s="18" t="s">
        <v>111</v>
      </c>
      <c r="C31" s="18" t="s">
        <v>111</v>
      </c>
      <c r="D31" s="18" t="s">
        <v>111</v>
      </c>
      <c r="E31" s="18" t="s">
        <v>111</v>
      </c>
      <c r="F31" s="18" t="s">
        <v>111</v>
      </c>
      <c r="G31" s="18" t="s">
        <v>111</v>
      </c>
      <c r="H31" s="18" t="s">
        <v>111</v>
      </c>
      <c r="I31" s="18" t="s">
        <v>111</v>
      </c>
      <c r="J31" s="18" t="s">
        <v>111</v>
      </c>
      <c r="K31" s="18" t="s">
        <v>111</v>
      </c>
      <c r="L31" s="18" t="s">
        <v>111</v>
      </c>
      <c r="M31" s="18" t="s">
        <v>111</v>
      </c>
      <c r="N31" s="18" t="s">
        <v>111</v>
      </c>
      <c r="O31" s="18" t="s">
        <v>111</v>
      </c>
      <c r="P31" s="18" t="s">
        <v>111</v>
      </c>
      <c r="Q31" s="18" t="s">
        <v>111</v>
      </c>
      <c r="R31" s="18" t="s">
        <v>111</v>
      </c>
      <c r="S31" s="18" t="s">
        <v>111</v>
      </c>
      <c r="T31" s="18" t="s">
        <v>111</v>
      </c>
      <c r="U31" s="18" t="s">
        <v>111</v>
      </c>
      <c r="V31" s="18" t="s">
        <v>111</v>
      </c>
      <c r="W31" s="18" t="s">
        <v>111</v>
      </c>
      <c r="X31" s="18" t="s">
        <v>111</v>
      </c>
      <c r="Y31" s="18" t="s">
        <v>111</v>
      </c>
      <c r="Z31" s="18" t="s">
        <v>111</v>
      </c>
      <c r="AA31" s="18" t="s">
        <v>111</v>
      </c>
      <c r="AB31" s="18" t="s">
        <v>111</v>
      </c>
      <c r="AC31" s="19" t="s">
        <v>111</v>
      </c>
      <c r="AD31" s="19" t="s">
        <v>111</v>
      </c>
      <c r="AE31" s="19" t="s">
        <v>111</v>
      </c>
      <c r="AF31" s="19" t="s">
        <v>111</v>
      </c>
      <c r="AG31" s="18">
        <v>0</v>
      </c>
      <c r="AH31" s="31"/>
    </row>
    <row r="32" spans="1:34" x14ac:dyDescent="0.25">
      <c r="A32" s="16" t="s">
        <v>81</v>
      </c>
      <c r="B32" s="18" t="s">
        <v>65</v>
      </c>
      <c r="C32" s="18" t="s">
        <v>65</v>
      </c>
      <c r="D32" s="18" t="s">
        <v>65</v>
      </c>
      <c r="E32" s="18" t="s">
        <v>65</v>
      </c>
      <c r="F32" s="18" t="s">
        <v>65</v>
      </c>
      <c r="G32" s="18" t="s">
        <v>65</v>
      </c>
      <c r="H32" s="18" t="s">
        <v>65</v>
      </c>
      <c r="I32" s="18" t="s">
        <v>65</v>
      </c>
      <c r="J32" s="18" t="s">
        <v>65</v>
      </c>
      <c r="K32" s="18" t="s">
        <v>65</v>
      </c>
      <c r="L32" s="18" t="s">
        <v>65</v>
      </c>
      <c r="M32" s="18" t="s">
        <v>65</v>
      </c>
      <c r="N32" s="18" t="s">
        <v>65</v>
      </c>
      <c r="O32" s="18" t="s">
        <v>65</v>
      </c>
      <c r="P32" s="18" t="s">
        <v>65</v>
      </c>
      <c r="Q32" s="18" t="s">
        <v>65</v>
      </c>
      <c r="R32" s="18" t="s">
        <v>65</v>
      </c>
      <c r="S32" s="18" t="s">
        <v>65</v>
      </c>
      <c r="T32" s="18" t="s">
        <v>65</v>
      </c>
      <c r="U32" s="18" t="s">
        <v>65</v>
      </c>
      <c r="V32" s="18" t="s">
        <v>65</v>
      </c>
      <c r="W32" s="18" t="s">
        <v>65</v>
      </c>
      <c r="X32" s="18" t="s">
        <v>65</v>
      </c>
      <c r="Y32" s="18" t="s">
        <v>65</v>
      </c>
      <c r="Z32" s="18" t="s">
        <v>65</v>
      </c>
      <c r="AA32" s="18" t="s">
        <v>65</v>
      </c>
      <c r="AB32" s="18" t="s">
        <v>65</v>
      </c>
      <c r="AC32" s="19" t="s">
        <v>65</v>
      </c>
      <c r="AD32" s="19" t="s">
        <v>65</v>
      </c>
      <c r="AE32" s="19" t="s">
        <v>65</v>
      </c>
      <c r="AF32" s="19" t="s">
        <v>65</v>
      </c>
      <c r="AG32" s="18">
        <v>0</v>
      </c>
      <c r="AH32" s="31"/>
    </row>
    <row r="33" spans="1:34" x14ac:dyDescent="0.25">
      <c r="A33" s="16" t="s">
        <v>82</v>
      </c>
      <c r="B33" s="18" t="s">
        <v>65</v>
      </c>
      <c r="C33" s="18" t="s">
        <v>65</v>
      </c>
      <c r="D33" s="18" t="s">
        <v>65</v>
      </c>
      <c r="E33" s="18" t="s">
        <v>65</v>
      </c>
      <c r="F33" s="18" t="s">
        <v>65</v>
      </c>
      <c r="G33" s="18" t="s">
        <v>65</v>
      </c>
      <c r="H33" s="18" t="s">
        <v>65</v>
      </c>
      <c r="I33" s="18" t="s">
        <v>65</v>
      </c>
      <c r="J33" s="18" t="s">
        <v>65</v>
      </c>
      <c r="K33" s="18" t="s">
        <v>65</v>
      </c>
      <c r="L33" s="18" t="s">
        <v>65</v>
      </c>
      <c r="M33" s="18" t="s">
        <v>65</v>
      </c>
      <c r="N33" s="18" t="s">
        <v>65</v>
      </c>
      <c r="O33" s="18" t="s">
        <v>65</v>
      </c>
      <c r="P33" s="18" t="s">
        <v>65</v>
      </c>
      <c r="Q33" s="18" t="s">
        <v>65</v>
      </c>
      <c r="R33" s="18" t="s">
        <v>65</v>
      </c>
      <c r="S33" s="18" t="s">
        <v>65</v>
      </c>
      <c r="T33" s="18" t="s">
        <v>65</v>
      </c>
      <c r="U33" s="18" t="s">
        <v>65</v>
      </c>
      <c r="V33" s="18" t="s">
        <v>65</v>
      </c>
      <c r="W33" s="18" t="s">
        <v>65</v>
      </c>
      <c r="X33" s="18" t="s">
        <v>65</v>
      </c>
      <c r="Y33" s="18" t="s">
        <v>65</v>
      </c>
      <c r="Z33" s="18" t="s">
        <v>65</v>
      </c>
      <c r="AA33" s="18" t="s">
        <v>65</v>
      </c>
      <c r="AB33" s="18" t="s">
        <v>65</v>
      </c>
      <c r="AC33" s="19" t="s">
        <v>65</v>
      </c>
      <c r="AD33" s="19" t="s">
        <v>65</v>
      </c>
      <c r="AE33" s="19" t="s">
        <v>65</v>
      </c>
      <c r="AF33" s="19" t="s">
        <v>65</v>
      </c>
      <c r="AG33" s="18">
        <v>0</v>
      </c>
      <c r="AH33" s="31"/>
    </row>
    <row r="34" spans="1:34" x14ac:dyDescent="0.25">
      <c r="A34" s="16" t="s">
        <v>128</v>
      </c>
      <c r="B34" s="25" t="s">
        <v>69</v>
      </c>
      <c r="C34" s="25" t="s">
        <v>69</v>
      </c>
      <c r="D34" s="25" t="s">
        <v>69</v>
      </c>
      <c r="E34" s="25" t="s">
        <v>69</v>
      </c>
      <c r="F34" s="25" t="s">
        <v>69</v>
      </c>
      <c r="G34" s="25" t="s">
        <v>69</v>
      </c>
      <c r="H34" s="25" t="s">
        <v>69</v>
      </c>
      <c r="I34" s="25" t="s">
        <v>69</v>
      </c>
      <c r="J34" s="25" t="s">
        <v>69</v>
      </c>
      <c r="K34" s="25" t="s">
        <v>69</v>
      </c>
      <c r="L34" s="25" t="s">
        <v>69</v>
      </c>
      <c r="M34" s="25" t="s">
        <v>69</v>
      </c>
      <c r="N34" s="25" t="s">
        <v>69</v>
      </c>
      <c r="O34" s="25" t="s">
        <v>69</v>
      </c>
      <c r="P34" s="25" t="s">
        <v>69</v>
      </c>
      <c r="Q34" s="25" t="s">
        <v>69</v>
      </c>
      <c r="R34" s="25" t="s">
        <v>69</v>
      </c>
      <c r="S34" s="25" t="s">
        <v>69</v>
      </c>
      <c r="T34" s="25" t="s">
        <v>69</v>
      </c>
      <c r="U34" s="25" t="s">
        <v>69</v>
      </c>
      <c r="V34" s="25" t="s">
        <v>69</v>
      </c>
      <c r="W34" s="25" t="s">
        <v>69</v>
      </c>
      <c r="X34" s="25" t="s">
        <v>69</v>
      </c>
      <c r="Y34" s="25" t="s">
        <v>69</v>
      </c>
      <c r="Z34" s="25" t="s">
        <v>69</v>
      </c>
      <c r="AA34" s="25" t="s">
        <v>69</v>
      </c>
      <c r="AB34" s="25" t="s">
        <v>69</v>
      </c>
      <c r="AC34" s="25" t="s">
        <v>69</v>
      </c>
      <c r="AD34" s="25" t="s">
        <v>69</v>
      </c>
      <c r="AE34" s="25" t="s">
        <v>69</v>
      </c>
      <c r="AF34" s="25" t="s">
        <v>69</v>
      </c>
      <c r="AG34" s="25" t="s">
        <v>69</v>
      </c>
      <c r="AH34" s="31"/>
    </row>
    <row r="35" spans="1:34" x14ac:dyDescent="0.25">
      <c r="A35" s="16" t="s">
        <v>129</v>
      </c>
      <c r="B35" s="25" t="s">
        <v>69</v>
      </c>
      <c r="C35" s="25" t="s">
        <v>69</v>
      </c>
      <c r="D35" s="25" t="s">
        <v>69</v>
      </c>
      <c r="E35" s="25" t="s">
        <v>69</v>
      </c>
      <c r="F35" s="25" t="s">
        <v>69</v>
      </c>
      <c r="G35" s="25" t="s">
        <v>69</v>
      </c>
      <c r="H35" s="25" t="s">
        <v>69</v>
      </c>
      <c r="I35" s="25" t="s">
        <v>69</v>
      </c>
      <c r="J35" s="25" t="s">
        <v>69</v>
      </c>
      <c r="K35" s="25" t="s">
        <v>69</v>
      </c>
      <c r="L35" s="25" t="s">
        <v>69</v>
      </c>
      <c r="M35" s="25" t="s">
        <v>69</v>
      </c>
      <c r="N35" s="25" t="s">
        <v>69</v>
      </c>
      <c r="O35" s="25" t="s">
        <v>69</v>
      </c>
      <c r="P35" s="25" t="s">
        <v>69</v>
      </c>
      <c r="Q35" s="25" t="s">
        <v>69</v>
      </c>
      <c r="R35" s="25" t="s">
        <v>69</v>
      </c>
      <c r="S35" s="25" t="s">
        <v>69</v>
      </c>
      <c r="T35" s="25" t="s">
        <v>69</v>
      </c>
      <c r="U35" s="25" t="s">
        <v>69</v>
      </c>
      <c r="V35" s="25" t="s">
        <v>69</v>
      </c>
      <c r="W35" s="25" t="s">
        <v>69</v>
      </c>
      <c r="X35" s="25" t="s">
        <v>69</v>
      </c>
      <c r="Y35" s="25" t="s">
        <v>69</v>
      </c>
      <c r="Z35" s="25" t="s">
        <v>69</v>
      </c>
      <c r="AA35" s="25" t="s">
        <v>69</v>
      </c>
      <c r="AB35" s="25" t="s">
        <v>69</v>
      </c>
      <c r="AC35" s="25" t="s">
        <v>69</v>
      </c>
      <c r="AD35" s="25" t="s">
        <v>69</v>
      </c>
      <c r="AE35" s="25" t="s">
        <v>69</v>
      </c>
      <c r="AF35" s="25" t="s">
        <v>69</v>
      </c>
      <c r="AG35" s="25" t="s">
        <v>69</v>
      </c>
      <c r="AH35" s="31"/>
    </row>
    <row r="36" spans="1:34" x14ac:dyDescent="0.25">
      <c r="A36" s="16" t="s">
        <v>85</v>
      </c>
      <c r="B36" s="25" t="s">
        <v>69</v>
      </c>
      <c r="C36" s="25" t="s">
        <v>69</v>
      </c>
      <c r="D36" s="25" t="s">
        <v>69</v>
      </c>
      <c r="E36" s="25" t="s">
        <v>69</v>
      </c>
      <c r="F36" s="25" t="s">
        <v>69</v>
      </c>
      <c r="G36" s="25" t="s">
        <v>69</v>
      </c>
      <c r="H36" s="25" t="s">
        <v>69</v>
      </c>
      <c r="I36" s="25" t="s">
        <v>69</v>
      </c>
      <c r="J36" s="25" t="s">
        <v>69</v>
      </c>
      <c r="K36" s="25" t="s">
        <v>69</v>
      </c>
      <c r="L36" s="25" t="s">
        <v>69</v>
      </c>
      <c r="M36" s="25" t="s">
        <v>69</v>
      </c>
      <c r="N36" s="25" t="s">
        <v>69</v>
      </c>
      <c r="O36" s="25" t="s">
        <v>69</v>
      </c>
      <c r="P36" s="25" t="s">
        <v>69</v>
      </c>
      <c r="Q36" s="25" t="s">
        <v>69</v>
      </c>
      <c r="R36" s="25" t="s">
        <v>69</v>
      </c>
      <c r="S36" s="25" t="s">
        <v>69</v>
      </c>
      <c r="T36" s="25" t="s">
        <v>69</v>
      </c>
      <c r="U36" s="25" t="s">
        <v>69</v>
      </c>
      <c r="V36" s="25" t="s">
        <v>69</v>
      </c>
      <c r="W36" s="25" t="s">
        <v>69</v>
      </c>
      <c r="X36" s="25" t="s">
        <v>69</v>
      </c>
      <c r="Y36" s="25" t="s">
        <v>69</v>
      </c>
      <c r="Z36" s="25" t="s">
        <v>69</v>
      </c>
      <c r="AA36" s="25" t="s">
        <v>69</v>
      </c>
      <c r="AB36" s="25" t="s">
        <v>69</v>
      </c>
      <c r="AC36" s="25" t="s">
        <v>69</v>
      </c>
      <c r="AD36" s="25" t="s">
        <v>69</v>
      </c>
      <c r="AE36" s="25" t="s">
        <v>69</v>
      </c>
      <c r="AF36" s="25" t="s">
        <v>69</v>
      </c>
      <c r="AG36" s="25" t="s">
        <v>69</v>
      </c>
      <c r="AH36" s="31"/>
    </row>
    <row r="37" spans="1:34" x14ac:dyDescent="0.25">
      <c r="A37" s="16" t="s">
        <v>86</v>
      </c>
      <c r="B37" s="18" t="s">
        <v>65</v>
      </c>
      <c r="C37" s="18" t="s">
        <v>65</v>
      </c>
      <c r="D37" s="18" t="s">
        <v>65</v>
      </c>
      <c r="E37" s="18" t="s">
        <v>65</v>
      </c>
      <c r="F37" s="18" t="s">
        <v>65</v>
      </c>
      <c r="G37" s="18" t="s">
        <v>65</v>
      </c>
      <c r="H37" s="18" t="s">
        <v>65</v>
      </c>
      <c r="I37" s="18" t="s">
        <v>65</v>
      </c>
      <c r="J37" s="18" t="s">
        <v>65</v>
      </c>
      <c r="K37" s="18" t="s">
        <v>65</v>
      </c>
      <c r="L37" s="18" t="s">
        <v>65</v>
      </c>
      <c r="M37" s="18" t="s">
        <v>65</v>
      </c>
      <c r="N37" s="18" t="s">
        <v>65</v>
      </c>
      <c r="O37" s="18" t="s">
        <v>65</v>
      </c>
      <c r="P37" s="18" t="s">
        <v>65</v>
      </c>
      <c r="Q37" s="18" t="s">
        <v>65</v>
      </c>
      <c r="R37" s="18" t="s">
        <v>65</v>
      </c>
      <c r="S37" s="18" t="s">
        <v>65</v>
      </c>
      <c r="T37" s="18" t="s">
        <v>65</v>
      </c>
      <c r="U37" s="18" t="s">
        <v>65</v>
      </c>
      <c r="V37" s="18" t="s">
        <v>65</v>
      </c>
      <c r="W37" s="18" t="s">
        <v>65</v>
      </c>
      <c r="X37" s="18" t="s">
        <v>65</v>
      </c>
      <c r="Y37" s="18" t="s">
        <v>65</v>
      </c>
      <c r="Z37" s="18" t="s">
        <v>65</v>
      </c>
      <c r="AA37" s="18" t="s">
        <v>65</v>
      </c>
      <c r="AB37" s="18" t="s">
        <v>65</v>
      </c>
      <c r="AC37" s="19" t="s">
        <v>65</v>
      </c>
      <c r="AD37" s="19" t="s">
        <v>65</v>
      </c>
      <c r="AE37" s="19" t="s">
        <v>65</v>
      </c>
      <c r="AF37" s="19" t="s">
        <v>65</v>
      </c>
      <c r="AG37" s="18">
        <v>0</v>
      </c>
      <c r="AH37" s="31"/>
    </row>
    <row r="38" spans="1:34" x14ac:dyDescent="0.25">
      <c r="A38" s="22" t="s">
        <v>135</v>
      </c>
      <c r="B38" s="14">
        <v>18.383865598115189</v>
      </c>
      <c r="C38" s="14">
        <v>18.383865598115189</v>
      </c>
      <c r="D38" s="14">
        <v>17.327280473070019</v>
      </c>
      <c r="E38" s="14">
        <v>16.113498654709591</v>
      </c>
      <c r="F38" s="14">
        <v>18.67244213092718</v>
      </c>
      <c r="G38" s="14">
        <v>17.80002240748987</v>
      </c>
      <c r="H38" s="14">
        <v>18.324595138300179</v>
      </c>
      <c r="I38" s="14">
        <v>19.887964762902591</v>
      </c>
      <c r="J38" s="14">
        <v>16.544703813180391</v>
      </c>
      <c r="K38" s="14">
        <v>15.57565493389265</v>
      </c>
      <c r="L38" s="14">
        <v>14.67083096241111</v>
      </c>
      <c r="M38" s="14">
        <v>17.340390010026422</v>
      </c>
      <c r="N38" s="14">
        <v>25.74502237920861</v>
      </c>
      <c r="O38" s="14">
        <v>14.9933978498124</v>
      </c>
      <c r="P38" s="14">
        <v>23.08420044547853</v>
      </c>
      <c r="Q38" s="14">
        <v>18.58954851346796</v>
      </c>
      <c r="R38" s="14">
        <v>18.17279077512006</v>
      </c>
      <c r="S38" s="14">
        <v>17.41214880708668</v>
      </c>
      <c r="T38" s="14">
        <v>16.670029423216938</v>
      </c>
      <c r="U38" s="14">
        <v>15.65021812615063</v>
      </c>
      <c r="V38" s="14">
        <v>15.408761650782569</v>
      </c>
      <c r="W38" s="14">
        <v>27.822563309420229</v>
      </c>
      <c r="X38" s="14">
        <v>19.724526723936869</v>
      </c>
      <c r="Y38" s="14">
        <v>14.99782834585586</v>
      </c>
      <c r="Z38" s="14">
        <v>18.068151783612262</v>
      </c>
      <c r="AA38" s="14">
        <v>24.21465717624541</v>
      </c>
      <c r="AB38" s="14">
        <v>17.618962643749828</v>
      </c>
      <c r="AC38" s="14">
        <v>16.345282673709502</v>
      </c>
      <c r="AD38" s="14">
        <v>27.012987145546418</v>
      </c>
      <c r="AE38" s="14">
        <v>18.411705026477222</v>
      </c>
      <c r="AF38" s="14">
        <v>17.008581781500091</v>
      </c>
      <c r="AG38" s="14">
        <v>-7.480928367732</v>
      </c>
      <c r="AH38" s="31"/>
    </row>
    <row r="39" spans="1:34" x14ac:dyDescent="0.25">
      <c r="A39" s="16" t="s">
        <v>88</v>
      </c>
      <c r="B39" s="18">
        <v>2.3402035142949198</v>
      </c>
      <c r="C39" s="18">
        <v>2.3402035142949198</v>
      </c>
      <c r="D39" s="18">
        <v>2.19292822072866</v>
      </c>
      <c r="E39" s="18">
        <v>2.1167718776348501</v>
      </c>
      <c r="F39" s="18">
        <v>2.4252664074757599</v>
      </c>
      <c r="G39" s="18">
        <v>2.5745933446046299</v>
      </c>
      <c r="H39" s="18">
        <v>2.9076002958215801</v>
      </c>
      <c r="I39" s="18">
        <v>3.4277963064316901</v>
      </c>
      <c r="J39" s="18">
        <v>2.6750714829592899</v>
      </c>
      <c r="K39" s="18">
        <v>2.4822583956252098</v>
      </c>
      <c r="L39" s="18">
        <v>2.4670306232721302</v>
      </c>
      <c r="M39" s="18">
        <v>2.8028901164153099</v>
      </c>
      <c r="N39" s="18">
        <v>3.4301227225464901</v>
      </c>
      <c r="O39" s="18">
        <v>2.6029262801505002</v>
      </c>
      <c r="P39" s="18">
        <v>3.4787911317052398</v>
      </c>
      <c r="Q39" s="18">
        <v>3.2635806085997001</v>
      </c>
      <c r="R39" s="18">
        <v>2.75498152561712</v>
      </c>
      <c r="S39" s="18">
        <v>3.1435196293198402</v>
      </c>
      <c r="T39" s="18">
        <v>3.2858871275205699</v>
      </c>
      <c r="U39" s="18">
        <v>3.07675259802014</v>
      </c>
      <c r="V39" s="18">
        <v>2.7743047442715301</v>
      </c>
      <c r="W39" s="18">
        <v>4.09948382135134</v>
      </c>
      <c r="X39" s="18">
        <v>4.1729080281745601</v>
      </c>
      <c r="Y39" s="18">
        <v>2.7434876734405398</v>
      </c>
      <c r="Z39" s="18">
        <v>3.0729639055228</v>
      </c>
      <c r="AA39" s="18">
        <v>3.0269700254407899</v>
      </c>
      <c r="AB39" s="18">
        <v>2.90979707931705</v>
      </c>
      <c r="AC39" s="19">
        <v>2.7881667757014998</v>
      </c>
      <c r="AD39" s="19">
        <v>4.6214000866926703</v>
      </c>
      <c r="AE39" s="19">
        <v>3.2722555345344602</v>
      </c>
      <c r="AF39" s="19">
        <v>2.87623180068451</v>
      </c>
      <c r="AG39" s="18">
        <v>22.905199616840999</v>
      </c>
      <c r="AH39" s="31"/>
    </row>
    <row r="40" spans="1:34" x14ac:dyDescent="0.25">
      <c r="A40" s="16" t="s">
        <v>89</v>
      </c>
      <c r="B40" s="18">
        <v>1.8909774299E-3</v>
      </c>
      <c r="C40" s="18">
        <v>1.8909774299E-3</v>
      </c>
      <c r="D40" s="18">
        <v>1.21528112461E-3</v>
      </c>
      <c r="E40" s="18">
        <v>7.8118270689999996E-4</v>
      </c>
      <c r="F40" s="18">
        <v>1.5750043375E-3</v>
      </c>
      <c r="G40" s="18">
        <v>1.8083383134200001E-3</v>
      </c>
      <c r="H40" s="18">
        <v>2.46945124521E-3</v>
      </c>
      <c r="I40" s="18">
        <v>2.7465353416200001E-3</v>
      </c>
      <c r="J40" s="18">
        <v>1.50208747002E-3</v>
      </c>
      <c r="K40" s="18">
        <v>7.9236329325000005E-4</v>
      </c>
      <c r="L40" s="18">
        <v>6.4652955829000002E-4</v>
      </c>
      <c r="M40" s="18">
        <v>1.6236155824799999E-3</v>
      </c>
      <c r="N40" s="18">
        <v>1.43856E-2</v>
      </c>
      <c r="O40" s="18">
        <v>1.44585E-3</v>
      </c>
      <c r="P40" s="18">
        <v>7.2822857142899999E-3</v>
      </c>
      <c r="Q40" s="18">
        <v>1.584E-2</v>
      </c>
      <c r="R40" s="18">
        <v>3.3364285714299999E-3</v>
      </c>
      <c r="S40" s="18">
        <v>6.1714285714000003E-4</v>
      </c>
      <c r="T40" s="18" t="s">
        <v>136</v>
      </c>
      <c r="U40" s="18">
        <v>5.9086799999000001E-4</v>
      </c>
      <c r="V40" s="18">
        <v>3.3367679999000001E-4</v>
      </c>
      <c r="W40" s="18">
        <v>5.7586168420000004E-4</v>
      </c>
      <c r="X40" s="18" t="s">
        <v>136</v>
      </c>
      <c r="Y40" s="18">
        <v>8.5500000000000005E-5</v>
      </c>
      <c r="Z40" s="18" t="s">
        <v>136</v>
      </c>
      <c r="AA40" s="18" t="s">
        <v>136</v>
      </c>
      <c r="AB40" s="18" t="s">
        <v>136</v>
      </c>
      <c r="AC40" s="19" t="s">
        <v>136</v>
      </c>
      <c r="AD40" s="19" t="s">
        <v>136</v>
      </c>
      <c r="AE40" s="19">
        <v>5.6842105263000002E-4</v>
      </c>
      <c r="AF40" s="19">
        <v>5.4000000000000001E-4</v>
      </c>
      <c r="AG40" s="18">
        <v>-71.443339753211006</v>
      </c>
      <c r="AH40" s="31"/>
    </row>
    <row r="41" spans="1:34" x14ac:dyDescent="0.25">
      <c r="A41" s="16" t="s">
        <v>90</v>
      </c>
      <c r="B41" s="18">
        <v>10.78502860243313</v>
      </c>
      <c r="C41" s="18">
        <v>10.78502860243313</v>
      </c>
      <c r="D41" s="18">
        <v>10.86378850763408</v>
      </c>
      <c r="E41" s="18">
        <v>10.358885488576</v>
      </c>
      <c r="F41" s="18">
        <v>11.45147412287367</v>
      </c>
      <c r="G41" s="18">
        <v>10.152628513209221</v>
      </c>
      <c r="H41" s="18">
        <v>9.3357624969177202</v>
      </c>
      <c r="I41" s="18">
        <v>10.001751813841951</v>
      </c>
      <c r="J41" s="18">
        <v>9.1270804046194591</v>
      </c>
      <c r="K41" s="18">
        <v>9.3671128698582002</v>
      </c>
      <c r="L41" s="18">
        <v>8.7799853759375601</v>
      </c>
      <c r="M41" s="18">
        <v>9.7099900854158303</v>
      </c>
      <c r="N41" s="18">
        <v>11.248692926770479</v>
      </c>
      <c r="O41" s="18">
        <v>9.1569097678664999</v>
      </c>
      <c r="P41" s="18">
        <v>10.132112229521599</v>
      </c>
      <c r="Q41" s="18">
        <v>9.8933362891110992</v>
      </c>
      <c r="R41" s="18">
        <v>9.7834229366009104</v>
      </c>
      <c r="S41" s="18">
        <v>9.6166816847308993</v>
      </c>
      <c r="T41" s="18">
        <v>9.6798903632807303</v>
      </c>
      <c r="U41" s="18">
        <v>9.4376973477084096</v>
      </c>
      <c r="V41" s="18">
        <v>9.5254664576399009</v>
      </c>
      <c r="W41" s="18">
        <v>12.32293248775604</v>
      </c>
      <c r="X41" s="18">
        <v>10.06338745117216</v>
      </c>
      <c r="Y41" s="18">
        <v>9.6873999623966291</v>
      </c>
      <c r="Z41" s="18">
        <v>10.01421793351988</v>
      </c>
      <c r="AA41" s="18">
        <v>11.018257173315209</v>
      </c>
      <c r="AB41" s="18">
        <v>9.7691643672459794</v>
      </c>
      <c r="AC41" s="19">
        <v>9.7388435722771192</v>
      </c>
      <c r="AD41" s="19">
        <v>11.20109594760496</v>
      </c>
      <c r="AE41" s="19">
        <v>10.29085908167167</v>
      </c>
      <c r="AF41" s="19">
        <v>10.13462358940096</v>
      </c>
      <c r="AG41" s="18">
        <v>-6.0306285408039999</v>
      </c>
      <c r="AH41" s="31"/>
    </row>
    <row r="42" spans="1:34" x14ac:dyDescent="0.25">
      <c r="A42" s="16" t="s">
        <v>91</v>
      </c>
      <c r="B42" s="18">
        <v>5.2567425039572404</v>
      </c>
      <c r="C42" s="18">
        <v>5.2567425039572404</v>
      </c>
      <c r="D42" s="18">
        <v>4.26934846358267</v>
      </c>
      <c r="E42" s="18">
        <v>3.6370601057918401</v>
      </c>
      <c r="F42" s="18">
        <v>4.7941265962402504</v>
      </c>
      <c r="G42" s="18">
        <v>5.0709922113625998</v>
      </c>
      <c r="H42" s="18">
        <v>6.0787628943156697</v>
      </c>
      <c r="I42" s="18">
        <v>6.4556701072873297</v>
      </c>
      <c r="J42" s="18">
        <v>4.7410498381316204</v>
      </c>
      <c r="K42" s="18">
        <v>3.7254913051159901</v>
      </c>
      <c r="L42" s="18">
        <v>3.4231684336431298</v>
      </c>
      <c r="M42" s="18">
        <v>4.8258861926128001</v>
      </c>
      <c r="N42" s="18">
        <v>11.051821129891639</v>
      </c>
      <c r="O42" s="18">
        <v>3.2321159517954001</v>
      </c>
      <c r="P42" s="18">
        <v>9.4660147985373992</v>
      </c>
      <c r="Q42" s="18">
        <v>5.4167916157571598</v>
      </c>
      <c r="R42" s="18">
        <v>5.6310498843305998</v>
      </c>
      <c r="S42" s="18">
        <v>4.6513303501788004</v>
      </c>
      <c r="T42" s="18">
        <v>3.70425193241564</v>
      </c>
      <c r="U42" s="18">
        <v>3.1351773124220901</v>
      </c>
      <c r="V42" s="18">
        <v>3.10865677207115</v>
      </c>
      <c r="W42" s="18">
        <v>11.39957113862865</v>
      </c>
      <c r="X42" s="18">
        <v>5.4882312445901498</v>
      </c>
      <c r="Y42" s="18">
        <v>2.5668552100186899</v>
      </c>
      <c r="Z42" s="18">
        <v>4.9809699445695799</v>
      </c>
      <c r="AA42" s="18">
        <v>10.169429977489409</v>
      </c>
      <c r="AB42" s="18">
        <v>4.9400011971867999</v>
      </c>
      <c r="AC42" s="19">
        <v>3.8182723257308799</v>
      </c>
      <c r="AD42" s="19">
        <v>11.190491111248789</v>
      </c>
      <c r="AE42" s="19">
        <v>4.8480219892184602</v>
      </c>
      <c r="AF42" s="19">
        <v>3.99718639141462</v>
      </c>
      <c r="AG42" s="18">
        <v>-23.960772504920001</v>
      </c>
      <c r="AH42" s="31"/>
    </row>
    <row r="43" spans="1:34" x14ac:dyDescent="0.25">
      <c r="A43" s="16" t="s">
        <v>92</v>
      </c>
      <c r="B43" s="18" t="s">
        <v>65</v>
      </c>
      <c r="C43" s="18" t="s">
        <v>65</v>
      </c>
      <c r="D43" s="18" t="s">
        <v>65</v>
      </c>
      <c r="E43" s="18" t="s">
        <v>65</v>
      </c>
      <c r="F43" s="18" t="s">
        <v>65</v>
      </c>
      <c r="G43" s="18" t="s">
        <v>65</v>
      </c>
      <c r="H43" s="18" t="s">
        <v>65</v>
      </c>
      <c r="I43" s="18" t="s">
        <v>65</v>
      </c>
      <c r="J43" s="18" t="s">
        <v>65</v>
      </c>
      <c r="K43" s="18" t="s">
        <v>65</v>
      </c>
      <c r="L43" s="18" t="s">
        <v>65</v>
      </c>
      <c r="M43" s="18" t="s">
        <v>65</v>
      </c>
      <c r="N43" s="18" t="s">
        <v>65</v>
      </c>
      <c r="O43" s="18" t="s">
        <v>65</v>
      </c>
      <c r="P43" s="18" t="s">
        <v>65</v>
      </c>
      <c r="Q43" s="18" t="s">
        <v>65</v>
      </c>
      <c r="R43" s="18" t="s">
        <v>65</v>
      </c>
      <c r="S43" s="18" t="s">
        <v>65</v>
      </c>
      <c r="T43" s="18" t="s">
        <v>65</v>
      </c>
      <c r="U43" s="18" t="s">
        <v>65</v>
      </c>
      <c r="V43" s="18" t="s">
        <v>65</v>
      </c>
      <c r="W43" s="18" t="s">
        <v>65</v>
      </c>
      <c r="X43" s="18" t="s">
        <v>65</v>
      </c>
      <c r="Y43" s="18" t="s">
        <v>65</v>
      </c>
      <c r="Z43" s="18" t="s">
        <v>65</v>
      </c>
      <c r="AA43" s="18" t="s">
        <v>65</v>
      </c>
      <c r="AB43" s="18" t="s">
        <v>65</v>
      </c>
      <c r="AC43" s="19" t="s">
        <v>65</v>
      </c>
      <c r="AD43" s="19" t="s">
        <v>65</v>
      </c>
      <c r="AE43" s="19" t="s">
        <v>65</v>
      </c>
      <c r="AF43" s="19" t="s">
        <v>65</v>
      </c>
      <c r="AG43" s="18">
        <v>0</v>
      </c>
      <c r="AH43" s="31"/>
    </row>
    <row r="44" spans="1:34" x14ac:dyDescent="0.25">
      <c r="A44" s="16" t="s">
        <v>93</v>
      </c>
      <c r="B44" s="18" t="s">
        <v>65</v>
      </c>
      <c r="C44" s="18" t="s">
        <v>65</v>
      </c>
      <c r="D44" s="18" t="s">
        <v>65</v>
      </c>
      <c r="E44" s="18" t="s">
        <v>65</v>
      </c>
      <c r="F44" s="18" t="s">
        <v>65</v>
      </c>
      <c r="G44" s="18" t="s">
        <v>65</v>
      </c>
      <c r="H44" s="18" t="s">
        <v>65</v>
      </c>
      <c r="I44" s="18" t="s">
        <v>65</v>
      </c>
      <c r="J44" s="18" t="s">
        <v>65</v>
      </c>
      <c r="K44" s="18" t="s">
        <v>65</v>
      </c>
      <c r="L44" s="18" t="s">
        <v>65</v>
      </c>
      <c r="M44" s="18" t="s">
        <v>65</v>
      </c>
      <c r="N44" s="18" t="s">
        <v>65</v>
      </c>
      <c r="O44" s="18" t="s">
        <v>65</v>
      </c>
      <c r="P44" s="18" t="s">
        <v>65</v>
      </c>
      <c r="Q44" s="18" t="s">
        <v>65</v>
      </c>
      <c r="R44" s="18" t="s">
        <v>65</v>
      </c>
      <c r="S44" s="18" t="s">
        <v>65</v>
      </c>
      <c r="T44" s="18" t="s">
        <v>65</v>
      </c>
      <c r="U44" s="18" t="s">
        <v>65</v>
      </c>
      <c r="V44" s="18" t="s">
        <v>65</v>
      </c>
      <c r="W44" s="18" t="s">
        <v>65</v>
      </c>
      <c r="X44" s="18" t="s">
        <v>65</v>
      </c>
      <c r="Y44" s="18" t="s">
        <v>65</v>
      </c>
      <c r="Z44" s="18" t="s">
        <v>65</v>
      </c>
      <c r="AA44" s="18" t="s">
        <v>65</v>
      </c>
      <c r="AB44" s="18" t="s">
        <v>65</v>
      </c>
      <c r="AC44" s="19" t="s">
        <v>65</v>
      </c>
      <c r="AD44" s="19" t="s">
        <v>65</v>
      </c>
      <c r="AE44" s="19" t="s">
        <v>65</v>
      </c>
      <c r="AF44" s="19" t="s">
        <v>65</v>
      </c>
      <c r="AG44" s="18">
        <v>0</v>
      </c>
      <c r="AH44" s="31"/>
    </row>
    <row r="45" spans="1:34" x14ac:dyDescent="0.25">
      <c r="A45" s="16" t="s">
        <v>94</v>
      </c>
      <c r="B45" s="25" t="s">
        <v>69</v>
      </c>
      <c r="C45" s="25" t="s">
        <v>69</v>
      </c>
      <c r="D45" s="25" t="s">
        <v>69</v>
      </c>
      <c r="E45" s="25" t="s">
        <v>69</v>
      </c>
      <c r="F45" s="25" t="s">
        <v>69</v>
      </c>
      <c r="G45" s="25" t="s">
        <v>69</v>
      </c>
      <c r="H45" s="25" t="s">
        <v>69</v>
      </c>
      <c r="I45" s="25" t="s">
        <v>69</v>
      </c>
      <c r="J45" s="25" t="s">
        <v>69</v>
      </c>
      <c r="K45" s="25" t="s">
        <v>69</v>
      </c>
      <c r="L45" s="25" t="s">
        <v>69</v>
      </c>
      <c r="M45" s="25" t="s">
        <v>69</v>
      </c>
      <c r="N45" s="25" t="s">
        <v>69</v>
      </c>
      <c r="O45" s="25" t="s">
        <v>69</v>
      </c>
      <c r="P45" s="25" t="s">
        <v>69</v>
      </c>
      <c r="Q45" s="25" t="s">
        <v>69</v>
      </c>
      <c r="R45" s="25" t="s">
        <v>69</v>
      </c>
      <c r="S45" s="25" t="s">
        <v>69</v>
      </c>
      <c r="T45" s="25" t="s">
        <v>69</v>
      </c>
      <c r="U45" s="25" t="s">
        <v>69</v>
      </c>
      <c r="V45" s="25" t="s">
        <v>69</v>
      </c>
      <c r="W45" s="25" t="s">
        <v>69</v>
      </c>
      <c r="X45" s="25" t="s">
        <v>69</v>
      </c>
      <c r="Y45" s="25" t="s">
        <v>69</v>
      </c>
      <c r="Z45" s="25" t="s">
        <v>69</v>
      </c>
      <c r="AA45" s="25" t="s">
        <v>69</v>
      </c>
      <c r="AB45" s="25" t="s">
        <v>69</v>
      </c>
      <c r="AC45" s="25" t="s">
        <v>69</v>
      </c>
      <c r="AD45" s="25" t="s">
        <v>69</v>
      </c>
      <c r="AE45" s="25" t="s">
        <v>69</v>
      </c>
      <c r="AF45" s="25" t="s">
        <v>69</v>
      </c>
      <c r="AG45" s="25" t="s">
        <v>69</v>
      </c>
      <c r="AH45" s="31"/>
    </row>
    <row r="46" spans="1:34" x14ac:dyDescent="0.25">
      <c r="A46" s="16" t="s">
        <v>131</v>
      </c>
      <c r="B46" s="18" t="s">
        <v>65</v>
      </c>
      <c r="C46" s="18" t="s">
        <v>65</v>
      </c>
      <c r="D46" s="18" t="s">
        <v>65</v>
      </c>
      <c r="E46" s="18" t="s">
        <v>65</v>
      </c>
      <c r="F46" s="18" t="s">
        <v>65</v>
      </c>
      <c r="G46" s="18" t="s">
        <v>65</v>
      </c>
      <c r="H46" s="18" t="s">
        <v>65</v>
      </c>
      <c r="I46" s="18" t="s">
        <v>65</v>
      </c>
      <c r="J46" s="18" t="s">
        <v>65</v>
      </c>
      <c r="K46" s="18" t="s">
        <v>65</v>
      </c>
      <c r="L46" s="18" t="s">
        <v>65</v>
      </c>
      <c r="M46" s="18" t="s">
        <v>65</v>
      </c>
      <c r="N46" s="18" t="s">
        <v>65</v>
      </c>
      <c r="O46" s="18" t="s">
        <v>65</v>
      </c>
      <c r="P46" s="18" t="s">
        <v>65</v>
      </c>
      <c r="Q46" s="18" t="s">
        <v>65</v>
      </c>
      <c r="R46" s="18" t="s">
        <v>65</v>
      </c>
      <c r="S46" s="18" t="s">
        <v>65</v>
      </c>
      <c r="T46" s="18" t="s">
        <v>65</v>
      </c>
      <c r="U46" s="18" t="s">
        <v>65</v>
      </c>
      <c r="V46" s="18" t="s">
        <v>65</v>
      </c>
      <c r="W46" s="18" t="s">
        <v>65</v>
      </c>
      <c r="X46" s="18" t="s">
        <v>65</v>
      </c>
      <c r="Y46" s="18" t="s">
        <v>65</v>
      </c>
      <c r="Z46" s="18" t="s">
        <v>65</v>
      </c>
      <c r="AA46" s="18" t="s">
        <v>65</v>
      </c>
      <c r="AB46" s="18" t="s">
        <v>65</v>
      </c>
      <c r="AC46" s="19" t="s">
        <v>65</v>
      </c>
      <c r="AD46" s="19" t="s">
        <v>65</v>
      </c>
      <c r="AE46" s="19" t="s">
        <v>65</v>
      </c>
      <c r="AF46" s="19" t="s">
        <v>65</v>
      </c>
      <c r="AG46" s="18">
        <v>0</v>
      </c>
      <c r="AH46" s="31"/>
    </row>
    <row r="47" spans="1:34" x14ac:dyDescent="0.25">
      <c r="A47" s="15" t="s">
        <v>96</v>
      </c>
      <c r="B47" s="14">
        <v>55.209048315890939</v>
      </c>
      <c r="C47" s="14">
        <v>55.209048315890939</v>
      </c>
      <c r="D47" s="14">
        <v>58.44396510975001</v>
      </c>
      <c r="E47" s="14">
        <v>60.980588062435238</v>
      </c>
      <c r="F47" s="14">
        <v>62.962705465571489</v>
      </c>
      <c r="G47" s="14">
        <v>64.79190899606219</v>
      </c>
      <c r="H47" s="14">
        <v>66.269438990153233</v>
      </c>
      <c r="I47" s="14">
        <v>61.420534635809219</v>
      </c>
      <c r="J47" s="14">
        <v>50.960277319163623</v>
      </c>
      <c r="K47" s="14">
        <v>53.281525236420798</v>
      </c>
      <c r="L47" s="14">
        <v>53.074151376843162</v>
      </c>
      <c r="M47" s="14">
        <v>53.293657699923777</v>
      </c>
      <c r="N47" s="14">
        <v>57.276592022116397</v>
      </c>
      <c r="O47" s="14">
        <v>60.433023475858043</v>
      </c>
      <c r="P47" s="14">
        <v>60.72518835345879</v>
      </c>
      <c r="Q47" s="14">
        <v>49.907004776952597</v>
      </c>
      <c r="R47" s="14">
        <v>42.667573093584039</v>
      </c>
      <c r="S47" s="14">
        <v>44.162069572307828</v>
      </c>
      <c r="T47" s="14">
        <v>26.702323898640731</v>
      </c>
      <c r="U47" s="14">
        <v>20.98482119435203</v>
      </c>
      <c r="V47" s="14">
        <v>13.95561889447648</v>
      </c>
      <c r="W47" s="14">
        <v>14.2497642501489</v>
      </c>
      <c r="X47" s="14">
        <v>18.513069495751569</v>
      </c>
      <c r="Y47" s="14">
        <v>15.191930560703</v>
      </c>
      <c r="Z47" s="14">
        <v>21.548077768687111</v>
      </c>
      <c r="AA47" s="14">
        <v>29.142712676175641</v>
      </c>
      <c r="AB47" s="14">
        <v>32.079917049127879</v>
      </c>
      <c r="AC47" s="14">
        <v>33.035547395499009</v>
      </c>
      <c r="AD47" s="14">
        <v>31.83969400138098</v>
      </c>
      <c r="AE47" s="14">
        <v>30.799678166833431</v>
      </c>
      <c r="AF47" s="14">
        <v>30.204367308207608</v>
      </c>
      <c r="AG47" s="14">
        <v>-45.290911128577001</v>
      </c>
      <c r="AH47" s="31"/>
    </row>
    <row r="48" spans="1:34" x14ac:dyDescent="0.25">
      <c r="A48" s="16" t="s">
        <v>97</v>
      </c>
      <c r="B48" s="18">
        <v>52.723000185831978</v>
      </c>
      <c r="C48" s="18">
        <v>52.723000185831978</v>
      </c>
      <c r="D48" s="18">
        <v>55.943049584813188</v>
      </c>
      <c r="E48" s="18">
        <v>58.457317566847927</v>
      </c>
      <c r="F48" s="18">
        <v>60.423525072605109</v>
      </c>
      <c r="G48" s="18">
        <v>62.242640281072738</v>
      </c>
      <c r="H48" s="18">
        <v>63.710363610827081</v>
      </c>
      <c r="I48" s="18">
        <v>58.874784427602847</v>
      </c>
      <c r="J48" s="18">
        <v>48.508982412636662</v>
      </c>
      <c r="K48" s="18">
        <v>50.537039858393413</v>
      </c>
      <c r="L48" s="18">
        <v>50.451495881511249</v>
      </c>
      <c r="M48" s="18">
        <v>50.726549434402578</v>
      </c>
      <c r="N48" s="18">
        <v>54.578840814021618</v>
      </c>
      <c r="O48" s="18">
        <v>57.50573558965462</v>
      </c>
      <c r="P48" s="18">
        <v>58.285406955065532</v>
      </c>
      <c r="Q48" s="18">
        <v>47.634091368178638</v>
      </c>
      <c r="R48" s="18">
        <v>40.279942215483111</v>
      </c>
      <c r="S48" s="18">
        <v>41.971821882033517</v>
      </c>
      <c r="T48" s="18">
        <v>24.63971198944974</v>
      </c>
      <c r="U48" s="18">
        <v>18.553681731906561</v>
      </c>
      <c r="V48" s="18">
        <v>11.392196325056419</v>
      </c>
      <c r="W48" s="18">
        <v>11.145860293314501</v>
      </c>
      <c r="X48" s="18">
        <v>15.262445342643961</v>
      </c>
      <c r="Y48" s="18">
        <v>12.111661906069569</v>
      </c>
      <c r="Z48" s="18">
        <v>18.438797726947261</v>
      </c>
      <c r="AA48" s="18">
        <v>25.924042828975431</v>
      </c>
      <c r="AB48" s="18">
        <v>29.077068215403081</v>
      </c>
      <c r="AC48" s="19">
        <v>29.982434370483482</v>
      </c>
      <c r="AD48" s="19">
        <v>28.716209526684761</v>
      </c>
      <c r="AE48" s="19">
        <v>27.70837379558656</v>
      </c>
      <c r="AF48" s="19">
        <v>27.075093238735342</v>
      </c>
      <c r="AG48" s="18">
        <v>-48.646524015506998</v>
      </c>
      <c r="AH48" s="31"/>
    </row>
    <row r="49" spans="1:34" x14ac:dyDescent="0.25">
      <c r="A49" s="16" t="s">
        <v>98</v>
      </c>
      <c r="B49" s="18" t="s">
        <v>65</v>
      </c>
      <c r="C49" s="18" t="s">
        <v>65</v>
      </c>
      <c r="D49" s="18" t="s">
        <v>65</v>
      </c>
      <c r="E49" s="18" t="s">
        <v>65</v>
      </c>
      <c r="F49" s="18" t="s">
        <v>65</v>
      </c>
      <c r="G49" s="18" t="s">
        <v>65</v>
      </c>
      <c r="H49" s="18" t="s">
        <v>65</v>
      </c>
      <c r="I49" s="18" t="s">
        <v>65</v>
      </c>
      <c r="J49" s="18" t="s">
        <v>65</v>
      </c>
      <c r="K49" s="18" t="s">
        <v>65</v>
      </c>
      <c r="L49" s="18" t="s">
        <v>65</v>
      </c>
      <c r="M49" s="18" t="s">
        <v>65</v>
      </c>
      <c r="N49" s="18">
        <v>8.8931999999999997E-2</v>
      </c>
      <c r="O49" s="18">
        <v>0.13605200000000001</v>
      </c>
      <c r="P49" s="18">
        <v>0.18923200000000001</v>
      </c>
      <c r="Q49" s="18">
        <v>0.19831199999999999</v>
      </c>
      <c r="R49" s="18">
        <v>0.32107999999999998</v>
      </c>
      <c r="S49" s="18">
        <v>0.31953599999999999</v>
      </c>
      <c r="T49" s="18">
        <v>0.29114400000000001</v>
      </c>
      <c r="U49" s="18">
        <v>0.38340800000000003</v>
      </c>
      <c r="V49" s="18">
        <v>0.49143599999999998</v>
      </c>
      <c r="W49" s="18">
        <v>1.0768</v>
      </c>
      <c r="X49" s="18">
        <v>1.2225919999999999</v>
      </c>
      <c r="Y49" s="18">
        <v>1.045212</v>
      </c>
      <c r="Z49" s="18">
        <v>1.0840000000000001</v>
      </c>
      <c r="AA49" s="18">
        <v>1.1202572256026699</v>
      </c>
      <c r="AB49" s="18">
        <v>0.91075513895116</v>
      </c>
      <c r="AC49" s="19">
        <v>1.03071714912221</v>
      </c>
      <c r="AD49" s="19">
        <v>1.0778719954160001</v>
      </c>
      <c r="AE49" s="19">
        <v>1.0746080593065801</v>
      </c>
      <c r="AF49" s="19">
        <v>1.0746080593065801</v>
      </c>
      <c r="AG49" s="18">
        <v>100</v>
      </c>
      <c r="AH49" s="31"/>
    </row>
    <row r="50" spans="1:34" x14ac:dyDescent="0.25">
      <c r="A50" s="16" t="s">
        <v>99</v>
      </c>
      <c r="B50" s="18">
        <v>4.2069105756910002E-2</v>
      </c>
      <c r="C50" s="18">
        <v>4.2069105756910002E-2</v>
      </c>
      <c r="D50" s="18">
        <v>4.3063723356090003E-2</v>
      </c>
      <c r="E50" s="18">
        <v>4.5341508799240003E-2</v>
      </c>
      <c r="F50" s="18">
        <v>4.7587766245530003E-2</v>
      </c>
      <c r="G50" s="18">
        <v>4.9450019329490003E-2</v>
      </c>
      <c r="H50" s="18">
        <v>5.0989829743099999E-2</v>
      </c>
      <c r="I50" s="18">
        <v>5.0741973283910002E-2</v>
      </c>
      <c r="J50" s="18">
        <v>4.7669177936370002E-2</v>
      </c>
      <c r="K50" s="18">
        <v>4.4536711050820001E-2</v>
      </c>
      <c r="L50" s="18">
        <v>6.2683796954610002E-2</v>
      </c>
      <c r="M50" s="18">
        <v>6.918076035048E-2</v>
      </c>
      <c r="N50" s="18">
        <v>8.7613014225750005E-2</v>
      </c>
      <c r="O50" s="18">
        <v>0.18451007886309001</v>
      </c>
      <c r="P50" s="18">
        <v>0.23984150769057</v>
      </c>
      <c r="Q50" s="18">
        <v>0.14408585046000999</v>
      </c>
      <c r="R50" s="18">
        <v>9.2817689803630005E-2</v>
      </c>
      <c r="S50" s="18">
        <v>9.6046589946039998E-2</v>
      </c>
      <c r="T50" s="18">
        <v>3.6511484755400001E-3</v>
      </c>
      <c r="U50" s="18">
        <v>1.352063082266E-2</v>
      </c>
      <c r="V50" s="18">
        <v>1.3733193729189999E-2</v>
      </c>
      <c r="W50" s="18">
        <v>1.6904765088400001E-2</v>
      </c>
      <c r="X50" s="18">
        <v>2.5440510872440002E-2</v>
      </c>
      <c r="Y50" s="18">
        <v>8.5823705414899993E-3</v>
      </c>
      <c r="Z50" s="18">
        <v>5.60769935038E-3</v>
      </c>
      <c r="AA50" s="18">
        <v>5.26862359927E-3</v>
      </c>
      <c r="AB50" s="18">
        <v>5.66158928644E-3</v>
      </c>
      <c r="AC50" s="19">
        <v>5.3657941587699999E-3</v>
      </c>
      <c r="AD50" s="19">
        <v>5.6827560493799998E-3</v>
      </c>
      <c r="AE50" s="19">
        <v>6.6762033127300002E-3</v>
      </c>
      <c r="AF50" s="19">
        <v>8.8754345127300006E-3</v>
      </c>
      <c r="AG50" s="18">
        <v>-78.902725995615</v>
      </c>
      <c r="AH50" s="31"/>
    </row>
    <row r="51" spans="1:34" x14ac:dyDescent="0.25">
      <c r="A51" s="16" t="s">
        <v>100</v>
      </c>
      <c r="B51" s="18">
        <v>2.4439790243020498</v>
      </c>
      <c r="C51" s="18">
        <v>2.4439790243020498</v>
      </c>
      <c r="D51" s="18">
        <v>2.45785180158073</v>
      </c>
      <c r="E51" s="18">
        <v>2.4779289867880698</v>
      </c>
      <c r="F51" s="18">
        <v>2.4915926267208501</v>
      </c>
      <c r="G51" s="18">
        <v>2.4998186956599602</v>
      </c>
      <c r="H51" s="18">
        <v>2.5080855495830501</v>
      </c>
      <c r="I51" s="18">
        <v>2.49500823492246</v>
      </c>
      <c r="J51" s="18">
        <v>2.40362572859059</v>
      </c>
      <c r="K51" s="18">
        <v>2.69994866697657</v>
      </c>
      <c r="L51" s="18">
        <v>2.5599716983773</v>
      </c>
      <c r="M51" s="18">
        <v>2.4979275051707202</v>
      </c>
      <c r="N51" s="18">
        <v>2.52120619386903</v>
      </c>
      <c r="O51" s="18">
        <v>2.6067258073403301</v>
      </c>
      <c r="P51" s="18">
        <v>2.0107078907026898</v>
      </c>
      <c r="Q51" s="18">
        <v>1.9305155583139499</v>
      </c>
      <c r="R51" s="18">
        <v>1.9737331882972999</v>
      </c>
      <c r="S51" s="18">
        <v>1.7746651003282701</v>
      </c>
      <c r="T51" s="18">
        <v>1.76781676071545</v>
      </c>
      <c r="U51" s="18">
        <v>2.03421083162281</v>
      </c>
      <c r="V51" s="18">
        <v>2.0582533756908701</v>
      </c>
      <c r="W51" s="18">
        <v>2.010199191746</v>
      </c>
      <c r="X51" s="18">
        <v>2.0025916422351702</v>
      </c>
      <c r="Y51" s="18">
        <v>2.0264742840919401</v>
      </c>
      <c r="Z51" s="18">
        <v>2.01967234238947</v>
      </c>
      <c r="AA51" s="18">
        <v>2.0931439979982698</v>
      </c>
      <c r="AB51" s="18">
        <v>2.0864321054872002</v>
      </c>
      <c r="AC51" s="19">
        <v>2.0170300817345499</v>
      </c>
      <c r="AD51" s="19">
        <v>2.03992972323084</v>
      </c>
      <c r="AE51" s="19">
        <v>2.0100201086275602</v>
      </c>
      <c r="AF51" s="19">
        <v>2.0457905756529602</v>
      </c>
      <c r="AG51" s="18">
        <v>-16.292629547539001</v>
      </c>
      <c r="AH51" s="31"/>
    </row>
    <row r="52" spans="1:34" ht="12" x14ac:dyDescent="0.25">
      <c r="A52" s="16" t="s">
        <v>101</v>
      </c>
      <c r="B52" s="18" t="s">
        <v>65</v>
      </c>
      <c r="C52" s="18" t="s">
        <v>65</v>
      </c>
      <c r="D52" s="18" t="s">
        <v>65</v>
      </c>
      <c r="E52" s="18" t="s">
        <v>65</v>
      </c>
      <c r="F52" s="18" t="s">
        <v>65</v>
      </c>
      <c r="G52" s="18" t="s">
        <v>65</v>
      </c>
      <c r="H52" s="18" t="s">
        <v>65</v>
      </c>
      <c r="I52" s="18" t="s">
        <v>65</v>
      </c>
      <c r="J52" s="18" t="s">
        <v>65</v>
      </c>
      <c r="K52" s="18" t="s">
        <v>65</v>
      </c>
      <c r="L52" s="18" t="s">
        <v>65</v>
      </c>
      <c r="M52" s="18" t="s">
        <v>65</v>
      </c>
      <c r="N52" s="18" t="s">
        <v>65</v>
      </c>
      <c r="O52" s="18" t="s">
        <v>65</v>
      </c>
      <c r="P52" s="18" t="s">
        <v>65</v>
      </c>
      <c r="Q52" s="18" t="s">
        <v>65</v>
      </c>
      <c r="R52" s="18" t="s">
        <v>65</v>
      </c>
      <c r="S52" s="18" t="s">
        <v>65</v>
      </c>
      <c r="T52" s="18" t="s">
        <v>65</v>
      </c>
      <c r="U52" s="18" t="s">
        <v>65</v>
      </c>
      <c r="V52" s="18" t="s">
        <v>65</v>
      </c>
      <c r="W52" s="18" t="s">
        <v>65</v>
      </c>
      <c r="X52" s="18" t="s">
        <v>65</v>
      </c>
      <c r="Y52" s="18" t="s">
        <v>65</v>
      </c>
      <c r="Z52" s="18" t="s">
        <v>65</v>
      </c>
      <c r="AA52" s="18" t="s">
        <v>65</v>
      </c>
      <c r="AB52" s="18" t="s">
        <v>65</v>
      </c>
      <c r="AC52" s="19" t="s">
        <v>65</v>
      </c>
      <c r="AD52" s="19" t="s">
        <v>65</v>
      </c>
      <c r="AE52" s="19" t="s">
        <v>65</v>
      </c>
      <c r="AF52" s="19" t="s">
        <v>65</v>
      </c>
      <c r="AG52" s="18">
        <v>0</v>
      </c>
      <c r="AH52" s="31"/>
    </row>
    <row r="53" spans="1:34" ht="12" x14ac:dyDescent="0.25">
      <c r="A53" s="23" t="s">
        <v>102</v>
      </c>
      <c r="B53" s="14" t="s">
        <v>65</v>
      </c>
      <c r="C53" s="14" t="s">
        <v>65</v>
      </c>
      <c r="D53" s="14" t="s">
        <v>65</v>
      </c>
      <c r="E53" s="14" t="s">
        <v>65</v>
      </c>
      <c r="F53" s="14" t="s">
        <v>65</v>
      </c>
      <c r="G53" s="14" t="s">
        <v>65</v>
      </c>
      <c r="H53" s="14" t="s">
        <v>65</v>
      </c>
      <c r="I53" s="14" t="s">
        <v>65</v>
      </c>
      <c r="J53" s="14" t="s">
        <v>65</v>
      </c>
      <c r="K53" s="14" t="s">
        <v>65</v>
      </c>
      <c r="L53" s="14" t="s">
        <v>65</v>
      </c>
      <c r="M53" s="14" t="s">
        <v>65</v>
      </c>
      <c r="N53" s="14" t="s">
        <v>65</v>
      </c>
      <c r="O53" s="14" t="s">
        <v>65</v>
      </c>
      <c r="P53" s="14" t="s">
        <v>65</v>
      </c>
      <c r="Q53" s="14" t="s">
        <v>65</v>
      </c>
      <c r="R53" s="14" t="s">
        <v>65</v>
      </c>
      <c r="S53" s="14" t="s">
        <v>65</v>
      </c>
      <c r="T53" s="14" t="s">
        <v>65</v>
      </c>
      <c r="U53" s="14" t="s">
        <v>65</v>
      </c>
      <c r="V53" s="14" t="s">
        <v>65</v>
      </c>
      <c r="W53" s="14" t="s">
        <v>65</v>
      </c>
      <c r="X53" s="14" t="s">
        <v>65</v>
      </c>
      <c r="Y53" s="14" t="s">
        <v>65</v>
      </c>
      <c r="Z53" s="14" t="s">
        <v>65</v>
      </c>
      <c r="AA53" s="14" t="s">
        <v>65</v>
      </c>
      <c r="AB53" s="14" t="s">
        <v>65</v>
      </c>
      <c r="AC53" s="14" t="s">
        <v>65</v>
      </c>
      <c r="AD53" s="14" t="s">
        <v>65</v>
      </c>
      <c r="AE53" s="14" t="s">
        <v>65</v>
      </c>
      <c r="AF53" s="14" t="s">
        <v>65</v>
      </c>
      <c r="AG53" s="14">
        <v>0</v>
      </c>
      <c r="AH53" s="31"/>
    </row>
    <row r="54" spans="1:34" ht="13.5" x14ac:dyDescent="0.25">
      <c r="A54" s="35" t="s">
        <v>137</v>
      </c>
      <c r="B54" s="14">
        <v>550.0823087549619</v>
      </c>
      <c r="C54" s="14">
        <v>550.0823087549619</v>
      </c>
      <c r="D54" s="14">
        <v>561.66769479749064</v>
      </c>
      <c r="E54" s="14">
        <v>570.26966971677325</v>
      </c>
      <c r="F54" s="14">
        <v>576.16133514674175</v>
      </c>
      <c r="G54" s="14">
        <v>577.46599858160948</v>
      </c>
      <c r="H54" s="14">
        <v>582.26710169836315</v>
      </c>
      <c r="I54" s="14">
        <v>595.2229260367684</v>
      </c>
      <c r="J54" s="14">
        <v>598.3426330095806</v>
      </c>
      <c r="K54" s="14">
        <v>611.31533375925756</v>
      </c>
      <c r="L54" s="14">
        <v>595.18707378904219</v>
      </c>
      <c r="M54" s="14">
        <v>575.47620513670734</v>
      </c>
      <c r="N54" s="14">
        <v>580.79427796429343</v>
      </c>
      <c r="O54" s="14">
        <v>580.84791827242839</v>
      </c>
      <c r="P54" s="14">
        <v>608.49298450329536</v>
      </c>
      <c r="Q54" s="14">
        <v>568.11240409998084</v>
      </c>
      <c r="R54" s="14">
        <v>560.78919930569657</v>
      </c>
      <c r="S54" s="14">
        <v>566.24686059586668</v>
      </c>
      <c r="T54" s="14">
        <v>532.82160214693306</v>
      </c>
      <c r="U54" s="14">
        <v>527.62846756147042</v>
      </c>
      <c r="V54" s="14">
        <v>513.08519096287603</v>
      </c>
      <c r="W54" s="14">
        <v>503.06656688343463</v>
      </c>
      <c r="X54" s="14">
        <v>500.95395013232263</v>
      </c>
      <c r="Y54" s="14">
        <v>526.23077246577418</v>
      </c>
      <c r="Z54" s="14">
        <v>537.56478644797323</v>
      </c>
      <c r="AA54" s="14">
        <v>540.47905956105933</v>
      </c>
      <c r="AB54" s="14">
        <v>561.50377790161735</v>
      </c>
      <c r="AC54" s="14">
        <v>576.92369462688077</v>
      </c>
      <c r="AD54" s="14">
        <v>593.02042800180413</v>
      </c>
      <c r="AE54" s="14">
        <v>605.5734477899598</v>
      </c>
      <c r="AF54" s="14">
        <v>589.22091624152586</v>
      </c>
      <c r="AG54" s="14">
        <v>7.115045669283</v>
      </c>
      <c r="AH54" s="31"/>
    </row>
    <row r="55" spans="1:34" ht="13.5" x14ac:dyDescent="0.25">
      <c r="A55" s="35" t="s">
        <v>138</v>
      </c>
      <c r="B55" s="14">
        <v>568.46617435307712</v>
      </c>
      <c r="C55" s="14">
        <v>568.46617435307712</v>
      </c>
      <c r="D55" s="14">
        <v>578.99497527056076</v>
      </c>
      <c r="E55" s="14">
        <v>586.38316837148284</v>
      </c>
      <c r="F55" s="14">
        <v>594.83377727766901</v>
      </c>
      <c r="G55" s="14">
        <v>595.26602098909939</v>
      </c>
      <c r="H55" s="14">
        <v>600.59169683666335</v>
      </c>
      <c r="I55" s="14">
        <v>615.11089079967098</v>
      </c>
      <c r="J55" s="14">
        <v>614.88733682276097</v>
      </c>
      <c r="K55" s="14">
        <v>626.89098869315012</v>
      </c>
      <c r="L55" s="14">
        <v>609.85790475145336</v>
      </c>
      <c r="M55" s="14">
        <v>592.81659514673379</v>
      </c>
      <c r="N55" s="14">
        <v>606.53930034350208</v>
      </c>
      <c r="O55" s="14">
        <v>595.84131612224076</v>
      </c>
      <c r="P55" s="14">
        <v>631.57718494877383</v>
      </c>
      <c r="Q55" s="14">
        <v>586.70195261344884</v>
      </c>
      <c r="R55" s="14">
        <v>578.96199008081669</v>
      </c>
      <c r="S55" s="14">
        <v>583.65900940295342</v>
      </c>
      <c r="T55" s="14">
        <v>549.49163157015005</v>
      </c>
      <c r="U55" s="14">
        <v>543.27868568762096</v>
      </c>
      <c r="V55" s="14">
        <v>528.49395261365862</v>
      </c>
      <c r="W55" s="14">
        <v>530.88913019285485</v>
      </c>
      <c r="X55" s="14">
        <v>520.67847685625952</v>
      </c>
      <c r="Y55" s="14">
        <v>541.22860081163014</v>
      </c>
      <c r="Z55" s="14">
        <v>555.63293823158551</v>
      </c>
      <c r="AA55" s="14">
        <v>564.69371673730473</v>
      </c>
      <c r="AB55" s="14">
        <v>579.12274054536715</v>
      </c>
      <c r="AC55" s="14">
        <v>593.26897730059022</v>
      </c>
      <c r="AD55" s="14">
        <v>620.03341514735052</v>
      </c>
      <c r="AE55" s="14">
        <v>623.98515281643699</v>
      </c>
      <c r="AF55" s="14">
        <v>606.22949802302605</v>
      </c>
      <c r="AG55" s="14">
        <v>6.6430203543640003</v>
      </c>
      <c r="AH55" s="31"/>
    </row>
    <row r="56" spans="1:34" x14ac:dyDescent="0.25">
      <c r="A56" s="24" t="s">
        <v>103</v>
      </c>
      <c r="B56" s="25" t="s">
        <v>69</v>
      </c>
      <c r="C56" s="25" t="s">
        <v>69</v>
      </c>
      <c r="D56" s="25" t="s">
        <v>69</v>
      </c>
      <c r="E56" s="25" t="s">
        <v>69</v>
      </c>
      <c r="F56" s="25" t="s">
        <v>69</v>
      </c>
      <c r="G56" s="25" t="s">
        <v>69</v>
      </c>
      <c r="H56" s="25" t="s">
        <v>69</v>
      </c>
      <c r="I56" s="25" t="s">
        <v>69</v>
      </c>
      <c r="J56" s="25" t="s">
        <v>69</v>
      </c>
      <c r="K56" s="25" t="s">
        <v>69</v>
      </c>
      <c r="L56" s="25" t="s">
        <v>69</v>
      </c>
      <c r="M56" s="25" t="s">
        <v>69</v>
      </c>
      <c r="N56" s="25" t="s">
        <v>69</v>
      </c>
      <c r="O56" s="25" t="s">
        <v>69</v>
      </c>
      <c r="P56" s="25" t="s">
        <v>69</v>
      </c>
      <c r="Q56" s="25" t="s">
        <v>69</v>
      </c>
      <c r="R56" s="25" t="s">
        <v>69</v>
      </c>
      <c r="S56" s="25" t="s">
        <v>69</v>
      </c>
      <c r="T56" s="25" t="s">
        <v>69</v>
      </c>
      <c r="U56" s="25" t="s">
        <v>69</v>
      </c>
      <c r="V56" s="25" t="s">
        <v>69</v>
      </c>
      <c r="W56" s="25" t="s">
        <v>69</v>
      </c>
      <c r="X56" s="25" t="s">
        <v>69</v>
      </c>
      <c r="Y56" s="25" t="s">
        <v>69</v>
      </c>
      <c r="Z56" s="25" t="s">
        <v>69</v>
      </c>
      <c r="AA56" s="25" t="s">
        <v>69</v>
      </c>
      <c r="AB56" s="25" t="s">
        <v>69</v>
      </c>
      <c r="AC56" s="25" t="s">
        <v>69</v>
      </c>
      <c r="AD56" s="25" t="s">
        <v>69</v>
      </c>
      <c r="AE56" s="25" t="s">
        <v>69</v>
      </c>
      <c r="AF56" s="25" t="s">
        <v>69</v>
      </c>
      <c r="AG56" s="25" t="s">
        <v>69</v>
      </c>
      <c r="AH56" s="31"/>
    </row>
    <row r="57" spans="1:34" x14ac:dyDescent="0.25">
      <c r="A57" s="24" t="s">
        <v>104</v>
      </c>
      <c r="B57" s="14">
        <v>1.9989529510540002E-2</v>
      </c>
      <c r="C57" s="14">
        <v>1.9989529510540002E-2</v>
      </c>
      <c r="D57" s="14">
        <v>2.4283921011680001E-2</v>
      </c>
      <c r="E57" s="14">
        <v>1.8189467873829999E-2</v>
      </c>
      <c r="F57" s="14">
        <v>2.8489970881310001E-2</v>
      </c>
      <c r="G57" s="14">
        <v>2.4617653428829999E-2</v>
      </c>
      <c r="H57" s="14">
        <v>4.7959960821409998E-2</v>
      </c>
      <c r="I57" s="14">
        <v>6.164457477377E-2</v>
      </c>
      <c r="J57" s="14">
        <v>5.9973274219539997E-2</v>
      </c>
      <c r="K57" s="14">
        <v>6.3257782204490007E-2</v>
      </c>
      <c r="L57" s="14">
        <v>6.8621240083309998E-2</v>
      </c>
      <c r="M57" s="14">
        <v>6.3529795142020007E-2</v>
      </c>
      <c r="N57" s="14">
        <v>6.6635102949520006E-2</v>
      </c>
      <c r="O57" s="14">
        <v>6.0127788268570001E-2</v>
      </c>
      <c r="P57" s="14">
        <v>6.8124449836069995E-2</v>
      </c>
      <c r="Q57" s="14">
        <v>6.2167134998120002E-2</v>
      </c>
      <c r="R57" s="14">
        <v>4.9020195047930003E-2</v>
      </c>
      <c r="S57" s="14">
        <v>5.6834637428080002E-2</v>
      </c>
      <c r="T57" s="14">
        <v>5.3710314398629999E-2</v>
      </c>
      <c r="U57" s="14">
        <v>4.1329308085600001E-2</v>
      </c>
      <c r="V57" s="14">
        <v>4.5945838099599998E-2</v>
      </c>
      <c r="W57" s="14">
        <v>5.6306379071699997E-2</v>
      </c>
      <c r="X57" s="14">
        <v>4.7366014896419999E-2</v>
      </c>
      <c r="Y57" s="14">
        <v>5.3545412128380002E-2</v>
      </c>
      <c r="Z57" s="14">
        <v>5.930150698904E-2</v>
      </c>
      <c r="AA57" s="14">
        <v>5.66211012421E-2</v>
      </c>
      <c r="AB57" s="14">
        <v>6.5976914124830005E-2</v>
      </c>
      <c r="AC57" s="14">
        <v>6.7810658666220006E-2</v>
      </c>
      <c r="AD57" s="14">
        <v>6.8027187434059999E-2</v>
      </c>
      <c r="AE57" s="14">
        <v>7.2108300518149995E-2</v>
      </c>
      <c r="AF57" s="14">
        <v>6.6655054985710005E-2</v>
      </c>
      <c r="AG57" s="14">
        <v>233.449844082445</v>
      </c>
      <c r="AH57" s="31"/>
    </row>
    <row r="58" spans="1:34" x14ac:dyDescent="0.25">
      <c r="A58" s="26" t="s">
        <v>105</v>
      </c>
      <c r="B58" s="18">
        <v>1.4663254209340001E-2</v>
      </c>
      <c r="C58" s="18">
        <v>1.4663254209340001E-2</v>
      </c>
      <c r="D58" s="18">
        <v>1.429571508608E-2</v>
      </c>
      <c r="E58" s="18">
        <v>1.3209872173029999E-2</v>
      </c>
      <c r="F58" s="18">
        <v>1.240959414371E-2</v>
      </c>
      <c r="G58" s="18">
        <v>1.3084643907229999E-2</v>
      </c>
      <c r="H58" s="18">
        <v>1.3215859636610001E-2</v>
      </c>
      <c r="I58" s="18">
        <v>1.458706129457E-2</v>
      </c>
      <c r="J58" s="18">
        <v>1.490730008314E-2</v>
      </c>
      <c r="K58" s="18">
        <v>1.608421062929E-2</v>
      </c>
      <c r="L58" s="18">
        <v>1.720345910651E-2</v>
      </c>
      <c r="M58" s="18">
        <v>1.828973386162E-2</v>
      </c>
      <c r="N58" s="18">
        <v>1.8348956263120001E-2</v>
      </c>
      <c r="O58" s="18">
        <v>1.722744061897E-2</v>
      </c>
      <c r="P58" s="18">
        <v>1.721292834167E-2</v>
      </c>
      <c r="Q58" s="18">
        <v>1.7404318676119999E-2</v>
      </c>
      <c r="R58" s="18">
        <v>1.7738411835110001E-2</v>
      </c>
      <c r="S58" s="18">
        <v>1.8746220828670002E-2</v>
      </c>
      <c r="T58" s="18">
        <v>2.0334850846430001E-2</v>
      </c>
      <c r="U58" s="18">
        <v>2.072169267375E-2</v>
      </c>
      <c r="V58" s="18">
        <v>1.729740407034E-2</v>
      </c>
      <c r="W58" s="18">
        <v>1.5634494415670001E-2</v>
      </c>
      <c r="X58" s="18">
        <v>1.5715863246570001E-2</v>
      </c>
      <c r="Y58" s="18">
        <v>1.5873777109800001E-2</v>
      </c>
      <c r="Z58" s="18">
        <v>1.642163222329E-2</v>
      </c>
      <c r="AA58" s="18">
        <v>1.719427674682E-2</v>
      </c>
      <c r="AB58" s="18">
        <v>1.9200829990760001E-2</v>
      </c>
      <c r="AC58" s="19">
        <v>2.1005381408789998E-2</v>
      </c>
      <c r="AD58" s="19">
        <v>2.2361924771570001E-2</v>
      </c>
      <c r="AE58" s="19">
        <v>2.4586322939550001E-2</v>
      </c>
      <c r="AF58" s="19">
        <v>2.5004535020810001E-2</v>
      </c>
      <c r="AG58" s="18">
        <v>70.525141717061004</v>
      </c>
      <c r="AH58" s="31"/>
    </row>
    <row r="59" spans="1:34" x14ac:dyDescent="0.25">
      <c r="A59" s="26" t="s">
        <v>106</v>
      </c>
      <c r="B59" s="18">
        <v>5.3262753011999999E-3</v>
      </c>
      <c r="C59" s="18">
        <v>5.3262753011999999E-3</v>
      </c>
      <c r="D59" s="18">
        <v>9.9882059255999994E-3</v>
      </c>
      <c r="E59" s="18">
        <v>4.9795957008000004E-3</v>
      </c>
      <c r="F59" s="18">
        <v>1.6080376737599999E-2</v>
      </c>
      <c r="G59" s="18">
        <v>1.15330095216E-2</v>
      </c>
      <c r="H59" s="18">
        <v>3.4744101184800001E-2</v>
      </c>
      <c r="I59" s="18">
        <v>4.7057513479200001E-2</v>
      </c>
      <c r="J59" s="18">
        <v>4.5065974136399997E-2</v>
      </c>
      <c r="K59" s="18">
        <v>4.7173571575200003E-2</v>
      </c>
      <c r="L59" s="18">
        <v>5.1417780976799998E-2</v>
      </c>
      <c r="M59" s="18">
        <v>4.52400612804E-2</v>
      </c>
      <c r="N59" s="18">
        <v>4.8286146686400001E-2</v>
      </c>
      <c r="O59" s="18">
        <v>4.2900347649599997E-2</v>
      </c>
      <c r="P59" s="18">
        <v>5.0911521494400001E-2</v>
      </c>
      <c r="Q59" s="18">
        <v>4.4762816322E-2</v>
      </c>
      <c r="R59" s="18">
        <v>3.1281783212819998E-2</v>
      </c>
      <c r="S59" s="18">
        <v>3.8088416599410001E-2</v>
      </c>
      <c r="T59" s="18">
        <v>3.3375463552200002E-2</v>
      </c>
      <c r="U59" s="18">
        <v>2.0607615411850001E-2</v>
      </c>
      <c r="V59" s="18">
        <v>2.8648434029260001E-2</v>
      </c>
      <c r="W59" s="18">
        <v>4.067188465603E-2</v>
      </c>
      <c r="X59" s="18">
        <v>3.1650151649850002E-2</v>
      </c>
      <c r="Y59" s="18">
        <v>3.7671635018580001E-2</v>
      </c>
      <c r="Z59" s="18">
        <v>4.2879874765750003E-2</v>
      </c>
      <c r="AA59" s="18">
        <v>3.9426824495279997E-2</v>
      </c>
      <c r="AB59" s="18">
        <v>4.6776084134070001E-2</v>
      </c>
      <c r="AC59" s="19">
        <v>4.680527725743E-2</v>
      </c>
      <c r="AD59" s="19">
        <v>4.5665262662489998E-2</v>
      </c>
      <c r="AE59" s="19">
        <v>4.7521977578600001E-2</v>
      </c>
      <c r="AF59" s="19">
        <v>4.1650519964899997E-2</v>
      </c>
      <c r="AG59" s="18">
        <v>681.98210962764597</v>
      </c>
      <c r="AH59" s="31"/>
    </row>
    <row r="60" spans="1:34" x14ac:dyDescent="0.25">
      <c r="A60" s="27" t="s">
        <v>107</v>
      </c>
      <c r="B60" s="18" t="s">
        <v>65</v>
      </c>
      <c r="C60" s="18" t="s">
        <v>65</v>
      </c>
      <c r="D60" s="18" t="s">
        <v>65</v>
      </c>
      <c r="E60" s="18" t="s">
        <v>65</v>
      </c>
      <c r="F60" s="18" t="s">
        <v>65</v>
      </c>
      <c r="G60" s="18" t="s">
        <v>65</v>
      </c>
      <c r="H60" s="18" t="s">
        <v>65</v>
      </c>
      <c r="I60" s="18" t="s">
        <v>65</v>
      </c>
      <c r="J60" s="18" t="s">
        <v>65</v>
      </c>
      <c r="K60" s="18" t="s">
        <v>65</v>
      </c>
      <c r="L60" s="18" t="s">
        <v>65</v>
      </c>
      <c r="M60" s="18" t="s">
        <v>65</v>
      </c>
      <c r="N60" s="18" t="s">
        <v>65</v>
      </c>
      <c r="O60" s="18" t="s">
        <v>65</v>
      </c>
      <c r="P60" s="18" t="s">
        <v>65</v>
      </c>
      <c r="Q60" s="18" t="s">
        <v>65</v>
      </c>
      <c r="R60" s="18" t="s">
        <v>65</v>
      </c>
      <c r="S60" s="18" t="s">
        <v>65</v>
      </c>
      <c r="T60" s="18" t="s">
        <v>65</v>
      </c>
      <c r="U60" s="18" t="s">
        <v>65</v>
      </c>
      <c r="V60" s="18" t="s">
        <v>65</v>
      </c>
      <c r="W60" s="18" t="s">
        <v>65</v>
      </c>
      <c r="X60" s="18" t="s">
        <v>65</v>
      </c>
      <c r="Y60" s="18" t="s">
        <v>65</v>
      </c>
      <c r="Z60" s="18" t="s">
        <v>65</v>
      </c>
      <c r="AA60" s="18" t="s">
        <v>65</v>
      </c>
      <c r="AB60" s="18" t="s">
        <v>65</v>
      </c>
      <c r="AC60" s="19" t="s">
        <v>65</v>
      </c>
      <c r="AD60" s="19" t="s">
        <v>65</v>
      </c>
      <c r="AE60" s="19" t="s">
        <v>65</v>
      </c>
      <c r="AF60" s="19" t="s">
        <v>65</v>
      </c>
      <c r="AG60" s="18">
        <v>0</v>
      </c>
      <c r="AH60" s="31"/>
    </row>
    <row r="61" spans="1:34" ht="13.5" x14ac:dyDescent="0.25">
      <c r="A61" s="24" t="s">
        <v>108</v>
      </c>
      <c r="B61" s="25" t="s">
        <v>69</v>
      </c>
      <c r="C61" s="25" t="s">
        <v>69</v>
      </c>
      <c r="D61" s="25" t="s">
        <v>69</v>
      </c>
      <c r="E61" s="25" t="s">
        <v>69</v>
      </c>
      <c r="F61" s="25" t="s">
        <v>69</v>
      </c>
      <c r="G61" s="25" t="s">
        <v>69</v>
      </c>
      <c r="H61" s="25" t="s">
        <v>69</v>
      </c>
      <c r="I61" s="25" t="s">
        <v>69</v>
      </c>
      <c r="J61" s="25" t="s">
        <v>69</v>
      </c>
      <c r="K61" s="25" t="s">
        <v>69</v>
      </c>
      <c r="L61" s="25" t="s">
        <v>69</v>
      </c>
      <c r="M61" s="25" t="s">
        <v>69</v>
      </c>
      <c r="N61" s="25" t="s">
        <v>69</v>
      </c>
      <c r="O61" s="25" t="s">
        <v>69</v>
      </c>
      <c r="P61" s="25" t="s">
        <v>69</v>
      </c>
      <c r="Q61" s="25" t="s">
        <v>69</v>
      </c>
      <c r="R61" s="25" t="s">
        <v>69</v>
      </c>
      <c r="S61" s="25" t="s">
        <v>69</v>
      </c>
      <c r="T61" s="25" t="s">
        <v>69</v>
      </c>
      <c r="U61" s="25" t="s">
        <v>69</v>
      </c>
      <c r="V61" s="25" t="s">
        <v>69</v>
      </c>
      <c r="W61" s="25" t="s">
        <v>69</v>
      </c>
      <c r="X61" s="25" t="s">
        <v>69</v>
      </c>
      <c r="Y61" s="25" t="s">
        <v>69</v>
      </c>
      <c r="Z61" s="25" t="s">
        <v>69</v>
      </c>
      <c r="AA61" s="25" t="s">
        <v>69</v>
      </c>
      <c r="AB61" s="25" t="s">
        <v>69</v>
      </c>
      <c r="AC61" s="25" t="s">
        <v>69</v>
      </c>
      <c r="AD61" s="25" t="s">
        <v>69</v>
      </c>
      <c r="AE61" s="25" t="s">
        <v>69</v>
      </c>
      <c r="AF61" s="25" t="s">
        <v>69</v>
      </c>
      <c r="AG61" s="25" t="s">
        <v>69</v>
      </c>
      <c r="AH61" s="31"/>
    </row>
    <row r="62" spans="1:34" ht="13.5" x14ac:dyDescent="0.25">
      <c r="A62" s="27" t="s">
        <v>109</v>
      </c>
      <c r="B62" s="25" t="s">
        <v>69</v>
      </c>
      <c r="C62" s="25" t="s">
        <v>69</v>
      </c>
      <c r="D62" s="25" t="s">
        <v>69</v>
      </c>
      <c r="E62" s="25" t="s">
        <v>69</v>
      </c>
      <c r="F62" s="25" t="s">
        <v>69</v>
      </c>
      <c r="G62" s="25" t="s">
        <v>69</v>
      </c>
      <c r="H62" s="25" t="s">
        <v>69</v>
      </c>
      <c r="I62" s="25" t="s">
        <v>69</v>
      </c>
      <c r="J62" s="25" t="s">
        <v>69</v>
      </c>
      <c r="K62" s="25" t="s">
        <v>69</v>
      </c>
      <c r="L62" s="25" t="s">
        <v>69</v>
      </c>
      <c r="M62" s="25" t="s">
        <v>69</v>
      </c>
      <c r="N62" s="25" t="s">
        <v>69</v>
      </c>
      <c r="O62" s="25" t="s">
        <v>69</v>
      </c>
      <c r="P62" s="25" t="s">
        <v>69</v>
      </c>
      <c r="Q62" s="25" t="s">
        <v>69</v>
      </c>
      <c r="R62" s="25" t="s">
        <v>69</v>
      </c>
      <c r="S62" s="25" t="s">
        <v>69</v>
      </c>
      <c r="T62" s="25" t="s">
        <v>69</v>
      </c>
      <c r="U62" s="25" t="s">
        <v>69</v>
      </c>
      <c r="V62" s="25" t="s">
        <v>69</v>
      </c>
      <c r="W62" s="25" t="s">
        <v>69</v>
      </c>
      <c r="X62" s="25" t="s">
        <v>69</v>
      </c>
      <c r="Y62" s="25" t="s">
        <v>69</v>
      </c>
      <c r="Z62" s="25" t="s">
        <v>69</v>
      </c>
      <c r="AA62" s="25" t="s">
        <v>69</v>
      </c>
      <c r="AB62" s="25" t="s">
        <v>69</v>
      </c>
      <c r="AC62" s="25" t="s">
        <v>69</v>
      </c>
      <c r="AD62" s="25" t="s">
        <v>69</v>
      </c>
      <c r="AE62" s="25" t="s">
        <v>69</v>
      </c>
      <c r="AF62" s="25" t="s">
        <v>69</v>
      </c>
      <c r="AG62" s="25" t="s">
        <v>69</v>
      </c>
      <c r="AH62" s="31"/>
    </row>
    <row r="63" spans="1:34" x14ac:dyDescent="0.25">
      <c r="A63" s="27" t="s">
        <v>110</v>
      </c>
      <c r="B63" s="25" t="s">
        <v>69</v>
      </c>
      <c r="C63" s="25" t="s">
        <v>69</v>
      </c>
      <c r="D63" s="25" t="s">
        <v>69</v>
      </c>
      <c r="E63" s="25" t="s">
        <v>69</v>
      </c>
      <c r="F63" s="25" t="s">
        <v>69</v>
      </c>
      <c r="G63" s="25" t="s">
        <v>69</v>
      </c>
      <c r="H63" s="25" t="s">
        <v>69</v>
      </c>
      <c r="I63" s="25" t="s">
        <v>69</v>
      </c>
      <c r="J63" s="25" t="s">
        <v>69</v>
      </c>
      <c r="K63" s="25" t="s">
        <v>69</v>
      </c>
      <c r="L63" s="25" t="s">
        <v>69</v>
      </c>
      <c r="M63" s="25" t="s">
        <v>69</v>
      </c>
      <c r="N63" s="25" t="s">
        <v>69</v>
      </c>
      <c r="O63" s="25" t="s">
        <v>69</v>
      </c>
      <c r="P63" s="25" t="s">
        <v>69</v>
      </c>
      <c r="Q63" s="25" t="s">
        <v>69</v>
      </c>
      <c r="R63" s="25" t="s">
        <v>69</v>
      </c>
      <c r="S63" s="25" t="s">
        <v>69</v>
      </c>
      <c r="T63" s="25" t="s">
        <v>69</v>
      </c>
      <c r="U63" s="25" t="s">
        <v>69</v>
      </c>
      <c r="V63" s="25" t="s">
        <v>69</v>
      </c>
      <c r="W63" s="25" t="s">
        <v>69</v>
      </c>
      <c r="X63" s="25" t="s">
        <v>69</v>
      </c>
      <c r="Y63" s="25" t="s">
        <v>69</v>
      </c>
      <c r="Z63" s="25" t="s">
        <v>69</v>
      </c>
      <c r="AA63" s="25" t="s">
        <v>69</v>
      </c>
      <c r="AB63" s="25" t="s">
        <v>69</v>
      </c>
      <c r="AC63" s="25" t="s">
        <v>69</v>
      </c>
      <c r="AD63" s="25" t="s">
        <v>69</v>
      </c>
      <c r="AE63" s="25" t="s">
        <v>69</v>
      </c>
      <c r="AF63" s="25" t="s">
        <v>69</v>
      </c>
      <c r="AG63" s="25" t="s">
        <v>69</v>
      </c>
      <c r="AH63" s="31"/>
    </row>
    <row r="64" spans="1:34" ht="12" customHeight="1" x14ac:dyDescent="0.25">
      <c r="A64" s="27" t="s">
        <v>112</v>
      </c>
      <c r="B64" s="25" t="s">
        <v>69</v>
      </c>
      <c r="C64" s="25" t="s">
        <v>69</v>
      </c>
      <c r="D64" s="25" t="s">
        <v>69</v>
      </c>
      <c r="E64" s="25" t="s">
        <v>69</v>
      </c>
      <c r="F64" s="25" t="s">
        <v>69</v>
      </c>
      <c r="G64" s="25" t="s">
        <v>69</v>
      </c>
      <c r="H64" s="25" t="s">
        <v>69</v>
      </c>
      <c r="I64" s="25" t="s">
        <v>69</v>
      </c>
      <c r="J64" s="25" t="s">
        <v>69</v>
      </c>
      <c r="K64" s="25" t="s">
        <v>69</v>
      </c>
      <c r="L64" s="25" t="s">
        <v>69</v>
      </c>
      <c r="M64" s="25" t="s">
        <v>69</v>
      </c>
      <c r="N64" s="25" t="s">
        <v>69</v>
      </c>
      <c r="O64" s="25" t="s">
        <v>69</v>
      </c>
      <c r="P64" s="25" t="s">
        <v>69</v>
      </c>
      <c r="Q64" s="25" t="s">
        <v>69</v>
      </c>
      <c r="R64" s="25" t="s">
        <v>69</v>
      </c>
      <c r="S64" s="25" t="s">
        <v>69</v>
      </c>
      <c r="T64" s="25" t="s">
        <v>69</v>
      </c>
      <c r="U64" s="25" t="s">
        <v>69</v>
      </c>
      <c r="V64" s="25" t="s">
        <v>69</v>
      </c>
      <c r="W64" s="25" t="s">
        <v>69</v>
      </c>
      <c r="X64" s="25" t="s">
        <v>69</v>
      </c>
      <c r="Y64" s="25" t="s">
        <v>69</v>
      </c>
      <c r="Z64" s="25" t="s">
        <v>69</v>
      </c>
      <c r="AA64" s="25" t="s">
        <v>69</v>
      </c>
      <c r="AB64" s="25" t="s">
        <v>69</v>
      </c>
      <c r="AC64" s="25" t="s">
        <v>69</v>
      </c>
      <c r="AD64" s="25" t="s">
        <v>69</v>
      </c>
      <c r="AE64" s="25" t="s">
        <v>69</v>
      </c>
      <c r="AF64" s="25" t="s">
        <v>69</v>
      </c>
      <c r="AG64" s="25" t="s">
        <v>69</v>
      </c>
      <c r="AH64" s="5"/>
    </row>
    <row r="65" spans="1:34" ht="17.25" customHeight="1" x14ac:dyDescent="0.25">
      <c r="A65" s="24" t="s">
        <v>115</v>
      </c>
      <c r="B65" s="25" t="s">
        <v>69</v>
      </c>
      <c r="C65" s="25" t="s">
        <v>69</v>
      </c>
      <c r="D65" s="25" t="s">
        <v>69</v>
      </c>
      <c r="E65" s="25" t="s">
        <v>69</v>
      </c>
      <c r="F65" s="25" t="s">
        <v>69</v>
      </c>
      <c r="G65" s="25" t="s">
        <v>69</v>
      </c>
      <c r="H65" s="25" t="s">
        <v>69</v>
      </c>
      <c r="I65" s="25" t="s">
        <v>69</v>
      </c>
      <c r="J65" s="25" t="s">
        <v>69</v>
      </c>
      <c r="K65" s="25" t="s">
        <v>69</v>
      </c>
      <c r="L65" s="25" t="s">
        <v>69</v>
      </c>
      <c r="M65" s="25" t="s">
        <v>69</v>
      </c>
      <c r="N65" s="25" t="s">
        <v>69</v>
      </c>
      <c r="O65" s="25" t="s">
        <v>69</v>
      </c>
      <c r="P65" s="25" t="s">
        <v>69</v>
      </c>
      <c r="Q65" s="25" t="s">
        <v>69</v>
      </c>
      <c r="R65" s="25" t="s">
        <v>69</v>
      </c>
      <c r="S65" s="25" t="s">
        <v>69</v>
      </c>
      <c r="T65" s="25" t="s">
        <v>69</v>
      </c>
      <c r="U65" s="25" t="s">
        <v>69</v>
      </c>
      <c r="V65" s="25" t="s">
        <v>69</v>
      </c>
      <c r="W65" s="25" t="s">
        <v>69</v>
      </c>
      <c r="X65" s="25" t="s">
        <v>69</v>
      </c>
      <c r="Y65" s="25" t="s">
        <v>69</v>
      </c>
      <c r="Z65" s="25" t="s">
        <v>69</v>
      </c>
      <c r="AA65" s="25" t="s">
        <v>69</v>
      </c>
      <c r="AB65" s="25" t="s">
        <v>69</v>
      </c>
      <c r="AC65" s="25" t="s">
        <v>69</v>
      </c>
      <c r="AD65" s="25" t="s">
        <v>69</v>
      </c>
      <c r="AE65" s="25" t="s">
        <v>69</v>
      </c>
      <c r="AF65" s="25" t="s">
        <v>69</v>
      </c>
      <c r="AG65" s="25" t="s">
        <v>69</v>
      </c>
      <c r="AH65" s="5"/>
    </row>
    <row r="66" spans="1:34" ht="14.25" customHeight="1" x14ac:dyDescent="0.25">
      <c r="A66" s="3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1"/>
    </row>
    <row r="67" spans="1:34" ht="12" customHeight="1" x14ac:dyDescent="0.25">
      <c r="A67" s="37" t="s">
        <v>123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4" ht="12" customHeight="1" x14ac:dyDescent="0.25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4" x14ac:dyDescent="0.25">
      <c r="A69" s="7" t="s">
        <v>200</v>
      </c>
      <c r="B69" s="7">
        <v>25</v>
      </c>
    </row>
    <row r="70" spans="1:34" x14ac:dyDescent="0.25">
      <c r="A70" s="7" t="s">
        <v>1</v>
      </c>
      <c r="B70" s="56" t="str">
        <f>B5</f>
        <v>Base year(1)</v>
      </c>
      <c r="C70" s="7">
        <v>1990</v>
      </c>
      <c r="D70" s="7">
        <f>C70+1</f>
        <v>1991</v>
      </c>
      <c r="E70" s="7">
        <f t="shared" ref="E70:AF70" si="0">D70+1</f>
        <v>1992</v>
      </c>
      <c r="F70" s="7">
        <f t="shared" si="0"/>
        <v>1993</v>
      </c>
      <c r="G70" s="7">
        <f t="shared" si="0"/>
        <v>1994</v>
      </c>
      <c r="H70" s="7">
        <f t="shared" si="0"/>
        <v>1995</v>
      </c>
      <c r="I70" s="7">
        <f t="shared" si="0"/>
        <v>1996</v>
      </c>
      <c r="J70" s="7">
        <f t="shared" si="0"/>
        <v>1997</v>
      </c>
      <c r="K70" s="7">
        <f t="shared" si="0"/>
        <v>1998</v>
      </c>
      <c r="L70" s="7">
        <f t="shared" si="0"/>
        <v>1999</v>
      </c>
      <c r="M70" s="7">
        <f t="shared" si="0"/>
        <v>2000</v>
      </c>
      <c r="N70" s="7">
        <f t="shared" si="0"/>
        <v>2001</v>
      </c>
      <c r="O70" s="7">
        <f t="shared" si="0"/>
        <v>2002</v>
      </c>
      <c r="P70" s="7">
        <f t="shared" si="0"/>
        <v>2003</v>
      </c>
      <c r="Q70" s="7">
        <f t="shared" si="0"/>
        <v>2004</v>
      </c>
      <c r="R70" s="7">
        <f t="shared" si="0"/>
        <v>2005</v>
      </c>
      <c r="S70" s="7">
        <f t="shared" si="0"/>
        <v>2006</v>
      </c>
      <c r="T70" s="7">
        <f t="shared" si="0"/>
        <v>2007</v>
      </c>
      <c r="U70" s="7">
        <f t="shared" si="0"/>
        <v>2008</v>
      </c>
      <c r="V70" s="7">
        <f t="shared" si="0"/>
        <v>2009</v>
      </c>
      <c r="W70" s="7">
        <f t="shared" si="0"/>
        <v>2010</v>
      </c>
      <c r="X70" s="7">
        <f t="shared" si="0"/>
        <v>2011</v>
      </c>
      <c r="Y70" s="7">
        <f t="shared" si="0"/>
        <v>2012</v>
      </c>
      <c r="Z70" s="7">
        <f t="shared" si="0"/>
        <v>2013</v>
      </c>
      <c r="AA70" s="7">
        <f t="shared" si="0"/>
        <v>2014</v>
      </c>
      <c r="AB70" s="7">
        <f t="shared" si="0"/>
        <v>2015</v>
      </c>
      <c r="AC70" s="7">
        <f t="shared" si="0"/>
        <v>2016</v>
      </c>
      <c r="AD70" s="7">
        <f t="shared" si="0"/>
        <v>2017</v>
      </c>
      <c r="AE70" s="7">
        <f t="shared" si="0"/>
        <v>2018</v>
      </c>
      <c r="AF70" s="7">
        <f t="shared" si="0"/>
        <v>2019</v>
      </c>
    </row>
    <row r="71" spans="1:34" x14ac:dyDescent="0.25">
      <c r="A71" s="7" t="str">
        <f t="shared" ref="A71:D72" si="1">A54</f>
        <v>Total CH4 emissions without CH4 from LULUCF</v>
      </c>
      <c r="B71" s="57">
        <f t="shared" si="1"/>
        <v>550.0823087549619</v>
      </c>
      <c r="C71" s="57">
        <f t="shared" si="1"/>
        <v>550.0823087549619</v>
      </c>
      <c r="D71" s="57">
        <f t="shared" si="1"/>
        <v>561.66769479749064</v>
      </c>
      <c r="E71" s="57">
        <f t="shared" ref="E71:AF72" si="2">E54</f>
        <v>570.26966971677325</v>
      </c>
      <c r="F71" s="57">
        <f t="shared" si="2"/>
        <v>576.16133514674175</v>
      </c>
      <c r="G71" s="57">
        <f t="shared" si="2"/>
        <v>577.46599858160948</v>
      </c>
      <c r="H71" s="57">
        <f t="shared" si="2"/>
        <v>582.26710169836315</v>
      </c>
      <c r="I71" s="57">
        <f t="shared" si="2"/>
        <v>595.2229260367684</v>
      </c>
      <c r="J71" s="57">
        <f t="shared" si="2"/>
        <v>598.3426330095806</v>
      </c>
      <c r="K71" s="57">
        <f t="shared" si="2"/>
        <v>611.31533375925756</v>
      </c>
      <c r="L71" s="57">
        <f t="shared" si="2"/>
        <v>595.18707378904219</v>
      </c>
      <c r="M71" s="57">
        <f t="shared" si="2"/>
        <v>575.47620513670734</v>
      </c>
      <c r="N71" s="57">
        <f t="shared" si="2"/>
        <v>580.79427796429343</v>
      </c>
      <c r="O71" s="57">
        <f t="shared" si="2"/>
        <v>580.84791827242839</v>
      </c>
      <c r="P71" s="57">
        <f t="shared" si="2"/>
        <v>608.49298450329536</v>
      </c>
      <c r="Q71" s="57">
        <f t="shared" si="2"/>
        <v>568.11240409998084</v>
      </c>
      <c r="R71" s="57">
        <f t="shared" si="2"/>
        <v>560.78919930569657</v>
      </c>
      <c r="S71" s="57">
        <f t="shared" si="2"/>
        <v>566.24686059586668</v>
      </c>
      <c r="T71" s="57">
        <f t="shared" si="2"/>
        <v>532.82160214693306</v>
      </c>
      <c r="U71" s="57">
        <f t="shared" si="2"/>
        <v>527.62846756147042</v>
      </c>
      <c r="V71" s="57">
        <f t="shared" si="2"/>
        <v>513.08519096287603</v>
      </c>
      <c r="W71" s="57">
        <f t="shared" si="2"/>
        <v>503.06656688343463</v>
      </c>
      <c r="X71" s="57">
        <f t="shared" si="2"/>
        <v>500.95395013232263</v>
      </c>
      <c r="Y71" s="57">
        <f t="shared" si="2"/>
        <v>526.23077246577418</v>
      </c>
      <c r="Z71" s="57">
        <f t="shared" si="2"/>
        <v>537.56478644797323</v>
      </c>
      <c r="AA71" s="57">
        <f t="shared" si="2"/>
        <v>540.47905956105933</v>
      </c>
      <c r="AB71" s="57">
        <f t="shared" si="2"/>
        <v>561.50377790161735</v>
      </c>
      <c r="AC71" s="57">
        <f t="shared" si="2"/>
        <v>576.92369462688077</v>
      </c>
      <c r="AD71" s="57">
        <f t="shared" si="2"/>
        <v>593.02042800180413</v>
      </c>
      <c r="AE71" s="57">
        <f t="shared" si="2"/>
        <v>605.5734477899598</v>
      </c>
      <c r="AF71" s="57">
        <f t="shared" si="2"/>
        <v>589.22091624152586</v>
      </c>
    </row>
    <row r="72" spans="1:34" x14ac:dyDescent="0.25">
      <c r="A72" s="7" t="str">
        <f t="shared" si="1"/>
        <v>Total CH4 emissions with CH4 from LULUCF</v>
      </c>
      <c r="B72" s="57">
        <f t="shared" si="1"/>
        <v>568.46617435307712</v>
      </c>
      <c r="C72" s="57">
        <f t="shared" si="1"/>
        <v>568.46617435307712</v>
      </c>
      <c r="D72" s="57">
        <f t="shared" si="1"/>
        <v>578.99497527056076</v>
      </c>
      <c r="E72" s="57">
        <f t="shared" si="2"/>
        <v>586.38316837148284</v>
      </c>
      <c r="F72" s="57">
        <f t="shared" si="2"/>
        <v>594.83377727766901</v>
      </c>
      <c r="G72" s="57">
        <f t="shared" si="2"/>
        <v>595.26602098909939</v>
      </c>
      <c r="H72" s="57">
        <f t="shared" si="2"/>
        <v>600.59169683666335</v>
      </c>
      <c r="I72" s="57">
        <f t="shared" si="2"/>
        <v>615.11089079967098</v>
      </c>
      <c r="J72" s="57">
        <f t="shared" si="2"/>
        <v>614.88733682276097</v>
      </c>
      <c r="K72" s="57">
        <f t="shared" si="2"/>
        <v>626.89098869315012</v>
      </c>
      <c r="L72" s="57">
        <f t="shared" si="2"/>
        <v>609.85790475145336</v>
      </c>
      <c r="M72" s="57">
        <f t="shared" si="2"/>
        <v>592.81659514673379</v>
      </c>
      <c r="N72" s="57">
        <f t="shared" si="2"/>
        <v>606.53930034350208</v>
      </c>
      <c r="O72" s="57">
        <f t="shared" si="2"/>
        <v>595.84131612224076</v>
      </c>
      <c r="P72" s="57">
        <f t="shared" si="2"/>
        <v>631.57718494877383</v>
      </c>
      <c r="Q72" s="57">
        <f t="shared" si="2"/>
        <v>586.70195261344884</v>
      </c>
      <c r="R72" s="57">
        <f t="shared" si="2"/>
        <v>578.96199008081669</v>
      </c>
      <c r="S72" s="57">
        <f t="shared" si="2"/>
        <v>583.65900940295342</v>
      </c>
      <c r="T72" s="57">
        <f t="shared" si="2"/>
        <v>549.49163157015005</v>
      </c>
      <c r="U72" s="57">
        <f t="shared" si="2"/>
        <v>543.27868568762096</v>
      </c>
      <c r="V72" s="57">
        <f t="shared" si="2"/>
        <v>528.49395261365862</v>
      </c>
      <c r="W72" s="57">
        <f t="shared" si="2"/>
        <v>530.88913019285485</v>
      </c>
      <c r="X72" s="57">
        <f t="shared" si="2"/>
        <v>520.67847685625952</v>
      </c>
      <c r="Y72" s="57">
        <f t="shared" si="2"/>
        <v>541.22860081163014</v>
      </c>
      <c r="Z72" s="57">
        <f t="shared" si="2"/>
        <v>555.63293823158551</v>
      </c>
      <c r="AA72" s="57">
        <f t="shared" si="2"/>
        <v>564.69371673730473</v>
      </c>
      <c r="AB72" s="57">
        <f t="shared" si="2"/>
        <v>579.12274054536715</v>
      </c>
      <c r="AC72" s="57">
        <f t="shared" si="2"/>
        <v>593.26897730059022</v>
      </c>
      <c r="AD72" s="57">
        <f t="shared" si="2"/>
        <v>620.03341514735052</v>
      </c>
      <c r="AE72" s="57">
        <f t="shared" si="2"/>
        <v>623.98515281643699</v>
      </c>
      <c r="AF72" s="57">
        <f t="shared" si="2"/>
        <v>606.22949802302605</v>
      </c>
    </row>
    <row r="73" spans="1:34" x14ac:dyDescent="0.25">
      <c r="A73" s="7" t="s">
        <v>189</v>
      </c>
      <c r="B73" s="59">
        <f>B71*$B$69</f>
        <v>13752.057718874048</v>
      </c>
      <c r="C73" s="59">
        <f t="shared" ref="C73:AF74" si="3">C71*$B$69</f>
        <v>13752.057718874048</v>
      </c>
      <c r="D73" s="59">
        <f t="shared" si="3"/>
        <v>14041.692369937266</v>
      </c>
      <c r="E73" s="59">
        <f t="shared" si="3"/>
        <v>14256.741742919332</v>
      </c>
      <c r="F73" s="59">
        <f t="shared" si="3"/>
        <v>14404.033378668544</v>
      </c>
      <c r="G73" s="59">
        <f t="shared" si="3"/>
        <v>14436.649964540236</v>
      </c>
      <c r="H73" s="59">
        <f t="shared" si="3"/>
        <v>14556.677542459078</v>
      </c>
      <c r="I73" s="59">
        <f t="shared" si="3"/>
        <v>14880.57315091921</v>
      </c>
      <c r="J73" s="59">
        <f t="shared" si="3"/>
        <v>14958.565825239515</v>
      </c>
      <c r="K73" s="59">
        <f t="shared" si="3"/>
        <v>15282.883343981439</v>
      </c>
      <c r="L73" s="59">
        <f t="shared" si="3"/>
        <v>14879.676844726055</v>
      </c>
      <c r="M73" s="59">
        <f t="shared" si="3"/>
        <v>14386.905128417684</v>
      </c>
      <c r="N73" s="59">
        <f t="shared" si="3"/>
        <v>14519.856949107336</v>
      </c>
      <c r="O73" s="59">
        <f t="shared" si="3"/>
        <v>14521.197956810709</v>
      </c>
      <c r="P73" s="59">
        <f t="shared" si="3"/>
        <v>15212.324612582384</v>
      </c>
      <c r="Q73" s="59">
        <f t="shared" si="3"/>
        <v>14202.810102499521</v>
      </c>
      <c r="R73" s="59">
        <f t="shared" si="3"/>
        <v>14019.729982642415</v>
      </c>
      <c r="S73" s="59">
        <f t="shared" si="3"/>
        <v>14156.171514896667</v>
      </c>
      <c r="T73" s="59">
        <f t="shared" si="3"/>
        <v>13320.540053673327</v>
      </c>
      <c r="U73" s="59">
        <f t="shared" si="3"/>
        <v>13190.71168903676</v>
      </c>
      <c r="V73" s="59">
        <f t="shared" si="3"/>
        <v>12827.1297740719</v>
      </c>
      <c r="W73" s="59">
        <f t="shared" si="3"/>
        <v>12576.664172085866</v>
      </c>
      <c r="X73" s="59">
        <f t="shared" si="3"/>
        <v>12523.848753308066</v>
      </c>
      <c r="Y73" s="59">
        <f t="shared" si="3"/>
        <v>13155.769311644355</v>
      </c>
      <c r="Z73" s="59">
        <f t="shared" si="3"/>
        <v>13439.119661199331</v>
      </c>
      <c r="AA73" s="59">
        <f t="shared" si="3"/>
        <v>13511.976489026483</v>
      </c>
      <c r="AB73" s="59">
        <f t="shared" si="3"/>
        <v>14037.594447540434</v>
      </c>
      <c r="AC73" s="59">
        <f t="shared" si="3"/>
        <v>14423.092365672019</v>
      </c>
      <c r="AD73" s="59">
        <f t="shared" si="3"/>
        <v>14825.510700045103</v>
      </c>
      <c r="AE73" s="59">
        <f t="shared" si="3"/>
        <v>15139.336194748996</v>
      </c>
      <c r="AF73" s="59">
        <f t="shared" si="3"/>
        <v>14730.522906038146</v>
      </c>
    </row>
    <row r="74" spans="1:34" x14ac:dyDescent="0.25">
      <c r="A74" s="7" t="s">
        <v>190</v>
      </c>
      <c r="B74" s="59">
        <f>B72*$B$69</f>
        <v>14211.654358826929</v>
      </c>
      <c r="C74" s="59">
        <f t="shared" si="3"/>
        <v>14211.654358826929</v>
      </c>
      <c r="D74" s="59">
        <f t="shared" si="3"/>
        <v>14474.874381764019</v>
      </c>
      <c r="E74" s="59">
        <f t="shared" si="3"/>
        <v>14659.579209287071</v>
      </c>
      <c r="F74" s="59">
        <f t="shared" si="3"/>
        <v>14870.844431941725</v>
      </c>
      <c r="G74" s="59">
        <f t="shared" si="3"/>
        <v>14881.650524727485</v>
      </c>
      <c r="H74" s="59">
        <f t="shared" si="3"/>
        <v>15014.792420916583</v>
      </c>
      <c r="I74" s="59">
        <f t="shared" si="3"/>
        <v>15377.772269991774</v>
      </c>
      <c r="J74" s="59">
        <f t="shared" si="3"/>
        <v>15372.183420569025</v>
      </c>
      <c r="K74" s="59">
        <f t="shared" si="3"/>
        <v>15672.274717328753</v>
      </c>
      <c r="L74" s="59">
        <f t="shared" si="3"/>
        <v>15246.447618786335</v>
      </c>
      <c r="M74" s="59">
        <f t="shared" si="3"/>
        <v>14820.414878668345</v>
      </c>
      <c r="N74" s="59">
        <f t="shared" si="3"/>
        <v>15163.482508587553</v>
      </c>
      <c r="O74" s="59">
        <f t="shared" si="3"/>
        <v>14896.032903056019</v>
      </c>
      <c r="P74" s="59">
        <f t="shared" si="3"/>
        <v>15789.429623719347</v>
      </c>
      <c r="Q74" s="59">
        <f t="shared" si="3"/>
        <v>14667.54881533622</v>
      </c>
      <c r="R74" s="59">
        <f t="shared" si="3"/>
        <v>14474.049752020417</v>
      </c>
      <c r="S74" s="59">
        <f t="shared" si="3"/>
        <v>14591.475235073834</v>
      </c>
      <c r="T74" s="59">
        <f t="shared" si="3"/>
        <v>13737.290789253751</v>
      </c>
      <c r="U74" s="59">
        <f t="shared" si="3"/>
        <v>13581.967142190524</v>
      </c>
      <c r="V74" s="59">
        <f t="shared" si="3"/>
        <v>13212.348815341466</v>
      </c>
      <c r="W74" s="59">
        <f t="shared" si="3"/>
        <v>13272.228254821372</v>
      </c>
      <c r="X74" s="59">
        <f t="shared" si="3"/>
        <v>13016.961921406488</v>
      </c>
      <c r="Y74" s="59">
        <f t="shared" si="3"/>
        <v>13530.715020290754</v>
      </c>
      <c r="Z74" s="59">
        <f t="shared" si="3"/>
        <v>13890.823455789638</v>
      </c>
      <c r="AA74" s="59">
        <f t="shared" si="3"/>
        <v>14117.342918432618</v>
      </c>
      <c r="AB74" s="59">
        <f t="shared" si="3"/>
        <v>14478.068513634178</v>
      </c>
      <c r="AC74" s="59">
        <f t="shared" si="3"/>
        <v>14831.724432514755</v>
      </c>
      <c r="AD74" s="59">
        <f t="shared" si="3"/>
        <v>15500.835378683763</v>
      </c>
      <c r="AE74" s="59">
        <f t="shared" si="3"/>
        <v>15599.628820410924</v>
      </c>
      <c r="AF74" s="59">
        <f t="shared" si="3"/>
        <v>15155.737450575651</v>
      </c>
    </row>
    <row r="77" spans="1:34" x14ac:dyDescent="0.25">
      <c r="E77" s="126" t="s">
        <v>323</v>
      </c>
    </row>
    <row r="78" spans="1:34" ht="34.5" x14ac:dyDescent="0.25">
      <c r="B78" s="7" t="s">
        <v>188</v>
      </c>
      <c r="C78" s="63" t="s">
        <v>1</v>
      </c>
      <c r="D78" s="63" t="s">
        <v>195</v>
      </c>
      <c r="E78" s="127" t="s">
        <v>196</v>
      </c>
      <c r="F78" s="63" t="s">
        <v>189</v>
      </c>
      <c r="G78" s="63" t="s">
        <v>190</v>
      </c>
      <c r="I78" s="7" t="s">
        <v>318</v>
      </c>
    </row>
    <row r="79" spans="1:34" x14ac:dyDescent="0.25">
      <c r="B79" s="7">
        <v>28</v>
      </c>
      <c r="C79" s="7" t="s">
        <v>194</v>
      </c>
      <c r="D79" s="62">
        <v>550.0823087549619</v>
      </c>
      <c r="E79" s="128">
        <v>568.46617435307712</v>
      </c>
      <c r="F79" s="62">
        <f>D79*$B$79</f>
        <v>15402.304645138933</v>
      </c>
      <c r="G79" s="62">
        <f t="shared" ref="G79:G108" si="4">E79*$B$79</f>
        <v>15917.05288188616</v>
      </c>
      <c r="H79" s="62"/>
      <c r="I79" s="62">
        <f>E79-D79</f>
        <v>18.383865598115221</v>
      </c>
    </row>
    <row r="80" spans="1:34" x14ac:dyDescent="0.25">
      <c r="C80" s="7">
        <v>1990</v>
      </c>
      <c r="D80" s="62">
        <v>550.0823087549619</v>
      </c>
      <c r="E80" s="128">
        <v>568.46617435307712</v>
      </c>
      <c r="F80" s="62">
        <f t="shared" ref="F80:F108" si="5">D80*$B$79</f>
        <v>15402.304645138933</v>
      </c>
      <c r="G80" s="62">
        <f t="shared" si="4"/>
        <v>15917.05288188616</v>
      </c>
      <c r="H80" s="62"/>
      <c r="I80" s="62">
        <f t="shared" ref="I80:I108" si="6">E80-D80</f>
        <v>18.383865598115221</v>
      </c>
    </row>
    <row r="81" spans="3:9" x14ac:dyDescent="0.25">
      <c r="C81" s="7">
        <v>1991</v>
      </c>
      <c r="D81" s="62">
        <v>561.66769479749064</v>
      </c>
      <c r="E81" s="128">
        <v>578.99497527056076</v>
      </c>
      <c r="F81" s="62">
        <f t="shared" si="5"/>
        <v>15726.695454329738</v>
      </c>
      <c r="G81" s="62">
        <f t="shared" si="4"/>
        <v>16211.859307575702</v>
      </c>
      <c r="H81" s="62"/>
      <c r="I81" s="62">
        <f t="shared" si="6"/>
        <v>17.327280473070118</v>
      </c>
    </row>
    <row r="82" spans="3:9" x14ac:dyDescent="0.25">
      <c r="C82" s="7">
        <v>1992</v>
      </c>
      <c r="D82" s="62">
        <v>570.26966971677325</v>
      </c>
      <c r="E82" s="128">
        <v>586.38316837148284</v>
      </c>
      <c r="F82" s="62">
        <f t="shared" si="5"/>
        <v>15967.550752069652</v>
      </c>
      <c r="G82" s="62">
        <f t="shared" si="4"/>
        <v>16418.728714401521</v>
      </c>
      <c r="H82" s="62"/>
      <c r="I82" s="62">
        <f t="shared" si="6"/>
        <v>16.113498654709588</v>
      </c>
    </row>
    <row r="83" spans="3:9" x14ac:dyDescent="0.25">
      <c r="C83" s="7">
        <v>1993</v>
      </c>
      <c r="D83" s="62">
        <v>576.16133514674175</v>
      </c>
      <c r="E83" s="128">
        <v>594.83377727766901</v>
      </c>
      <c r="F83" s="62">
        <f t="shared" si="5"/>
        <v>16132.517384108769</v>
      </c>
      <c r="G83" s="62">
        <f t="shared" si="4"/>
        <v>16655.345763774734</v>
      </c>
      <c r="H83" s="62"/>
      <c r="I83" s="62">
        <f t="shared" si="6"/>
        <v>18.672442130927266</v>
      </c>
    </row>
    <row r="84" spans="3:9" x14ac:dyDescent="0.25">
      <c r="C84" s="7">
        <v>1994</v>
      </c>
      <c r="D84" s="62">
        <v>577.46599858160948</v>
      </c>
      <c r="E84" s="128">
        <v>595.26602098909939</v>
      </c>
      <c r="F84" s="62">
        <f>D84*$B$79</f>
        <v>16169.047960285065</v>
      </c>
      <c r="G84" s="62">
        <f t="shared" si="4"/>
        <v>16667.448587694784</v>
      </c>
      <c r="H84" s="62"/>
      <c r="I84" s="62">
        <f t="shared" si="6"/>
        <v>17.800022407489905</v>
      </c>
    </row>
    <row r="85" spans="3:9" x14ac:dyDescent="0.25">
      <c r="C85" s="7">
        <v>1995</v>
      </c>
      <c r="D85" s="62">
        <v>582.26710169836315</v>
      </c>
      <c r="E85" s="128">
        <v>600.59169683666335</v>
      </c>
      <c r="F85" s="62">
        <f t="shared" si="5"/>
        <v>16303.478847554168</v>
      </c>
      <c r="G85" s="62">
        <f t="shared" si="4"/>
        <v>16816.567511426572</v>
      </c>
      <c r="H85" s="62"/>
      <c r="I85" s="62">
        <f t="shared" si="6"/>
        <v>18.324595138300197</v>
      </c>
    </row>
    <row r="86" spans="3:9" x14ac:dyDescent="0.25">
      <c r="C86" s="7">
        <v>1996</v>
      </c>
      <c r="D86" s="62">
        <v>595.2229260367684</v>
      </c>
      <c r="E86" s="128">
        <v>615.11089079967098</v>
      </c>
      <c r="F86" s="62">
        <f t="shared" si="5"/>
        <v>16666.241929029515</v>
      </c>
      <c r="G86" s="62">
        <f t="shared" si="4"/>
        <v>17223.104942390786</v>
      </c>
      <c r="H86" s="62"/>
      <c r="I86" s="62">
        <f t="shared" si="6"/>
        <v>19.887964762902584</v>
      </c>
    </row>
    <row r="87" spans="3:9" x14ac:dyDescent="0.25">
      <c r="C87" s="7">
        <v>1997</v>
      </c>
      <c r="D87" s="62">
        <v>598.3426330095806</v>
      </c>
      <c r="E87" s="128">
        <v>614.88733682276097</v>
      </c>
      <c r="F87" s="62">
        <f t="shared" si="5"/>
        <v>16753.593724268256</v>
      </c>
      <c r="G87" s="62">
        <f t="shared" si="4"/>
        <v>17216.845431037305</v>
      </c>
      <c r="H87" s="62"/>
      <c r="I87" s="62">
        <f t="shared" si="6"/>
        <v>16.544703813180377</v>
      </c>
    </row>
    <row r="88" spans="3:9" x14ac:dyDescent="0.25">
      <c r="C88" s="7">
        <v>1998</v>
      </c>
      <c r="D88" s="62">
        <v>611.31533375925756</v>
      </c>
      <c r="E88" s="128">
        <v>626.89098869315012</v>
      </c>
      <c r="F88" s="62">
        <f t="shared" si="5"/>
        <v>17116.829345259212</v>
      </c>
      <c r="G88" s="62">
        <f t="shared" si="4"/>
        <v>17552.947683408202</v>
      </c>
      <c r="H88" s="62"/>
      <c r="I88" s="62">
        <f t="shared" si="6"/>
        <v>15.575654933892565</v>
      </c>
    </row>
    <row r="89" spans="3:9" x14ac:dyDescent="0.25">
      <c r="C89" s="7">
        <v>1999</v>
      </c>
      <c r="D89" s="62">
        <v>595.18707378904219</v>
      </c>
      <c r="E89" s="128">
        <v>609.85790475145336</v>
      </c>
      <c r="F89" s="62">
        <f t="shared" si="5"/>
        <v>16665.238066093181</v>
      </c>
      <c r="G89" s="62">
        <f t="shared" si="4"/>
        <v>17076.021333040695</v>
      </c>
      <c r="H89" s="62"/>
      <c r="I89" s="62">
        <f t="shared" si="6"/>
        <v>14.670830962411173</v>
      </c>
    </row>
    <row r="90" spans="3:9" x14ac:dyDescent="0.25">
      <c r="C90" s="7">
        <v>2000</v>
      </c>
      <c r="D90" s="62">
        <v>575.47620513670734</v>
      </c>
      <c r="E90" s="128">
        <v>592.81659514673379</v>
      </c>
      <c r="F90" s="62">
        <f t="shared" si="5"/>
        <v>16113.333743827805</v>
      </c>
      <c r="G90" s="62">
        <f t="shared" si="4"/>
        <v>16598.864664108547</v>
      </c>
      <c r="H90" s="62"/>
      <c r="I90" s="62">
        <f t="shared" si="6"/>
        <v>17.340390010026454</v>
      </c>
    </row>
    <row r="91" spans="3:9" x14ac:dyDescent="0.25">
      <c r="C91" s="7">
        <v>2001</v>
      </c>
      <c r="D91" s="62">
        <v>580.79427796429343</v>
      </c>
      <c r="E91" s="128">
        <v>606.53930034350208</v>
      </c>
      <c r="F91" s="62">
        <f t="shared" si="5"/>
        <v>16262.239783000216</v>
      </c>
      <c r="G91" s="62">
        <f t="shared" si="4"/>
        <v>16983.100409618059</v>
      </c>
      <c r="H91" s="62"/>
      <c r="I91" s="62">
        <f t="shared" si="6"/>
        <v>25.745022379208649</v>
      </c>
    </row>
    <row r="92" spans="3:9" x14ac:dyDescent="0.25">
      <c r="C92" s="7">
        <v>2002</v>
      </c>
      <c r="D92" s="62">
        <v>580.84791827242839</v>
      </c>
      <c r="E92" s="128">
        <v>595.84131612224076</v>
      </c>
      <c r="F92" s="62">
        <f t="shared" si="5"/>
        <v>16263.741711627994</v>
      </c>
      <c r="G92" s="62">
        <f t="shared" si="4"/>
        <v>16683.556851422742</v>
      </c>
      <c r="H92" s="62"/>
      <c r="I92" s="62">
        <f t="shared" si="6"/>
        <v>14.993397849812368</v>
      </c>
    </row>
    <row r="93" spans="3:9" x14ac:dyDescent="0.25">
      <c r="C93" s="7">
        <v>2003</v>
      </c>
      <c r="D93" s="62">
        <v>608.49298450329536</v>
      </c>
      <c r="E93" s="128">
        <v>631.57718494877383</v>
      </c>
      <c r="F93" s="62">
        <f t="shared" si="5"/>
        <v>17037.803566092269</v>
      </c>
      <c r="G93" s="62">
        <f t="shared" si="4"/>
        <v>17684.161178565668</v>
      </c>
      <c r="H93" s="62"/>
      <c r="I93" s="62">
        <f t="shared" si="6"/>
        <v>23.084200445478473</v>
      </c>
    </row>
    <row r="94" spans="3:9" x14ac:dyDescent="0.25">
      <c r="C94" s="7">
        <v>2004</v>
      </c>
      <c r="D94" s="62">
        <v>568.11240409998084</v>
      </c>
      <c r="E94" s="128">
        <v>586.70195261344884</v>
      </c>
      <c r="F94" s="62">
        <f t="shared" si="5"/>
        <v>15907.147314799464</v>
      </c>
      <c r="G94" s="62">
        <f t="shared" si="4"/>
        <v>16427.654673176567</v>
      </c>
      <c r="H94" s="62"/>
      <c r="I94" s="62">
        <f t="shared" si="6"/>
        <v>18.589548513468003</v>
      </c>
    </row>
    <row r="95" spans="3:9" x14ac:dyDescent="0.25">
      <c r="C95" s="7">
        <v>2005</v>
      </c>
      <c r="D95" s="62">
        <v>560.78919930569657</v>
      </c>
      <c r="E95" s="128">
        <v>578.96199008081669</v>
      </c>
      <c r="F95" s="62">
        <f t="shared" si="5"/>
        <v>15702.097580559504</v>
      </c>
      <c r="G95" s="62">
        <f t="shared" si="4"/>
        <v>16210.935722262868</v>
      </c>
      <c r="H95" s="62"/>
      <c r="I95" s="62">
        <f t="shared" si="6"/>
        <v>18.17279077512012</v>
      </c>
    </row>
    <row r="96" spans="3:9" x14ac:dyDescent="0.25">
      <c r="C96" s="7">
        <v>2006</v>
      </c>
      <c r="D96" s="62">
        <v>566.24686059586668</v>
      </c>
      <c r="E96" s="128">
        <v>583.65900940295342</v>
      </c>
      <c r="F96" s="62">
        <f t="shared" si="5"/>
        <v>15854.912096684267</v>
      </c>
      <c r="G96" s="62">
        <f t="shared" si="4"/>
        <v>16342.452263282696</v>
      </c>
      <c r="H96" s="62"/>
      <c r="I96" s="62">
        <f t="shared" si="6"/>
        <v>17.412148807086737</v>
      </c>
    </row>
    <row r="97" spans="2:9" x14ac:dyDescent="0.25">
      <c r="C97" s="7">
        <v>2007</v>
      </c>
      <c r="D97" s="62">
        <v>532.82160214693306</v>
      </c>
      <c r="E97" s="128">
        <v>549.49163157015005</v>
      </c>
      <c r="F97" s="62">
        <f t="shared" si="5"/>
        <v>14919.004860114126</v>
      </c>
      <c r="G97" s="62">
        <f t="shared" si="4"/>
        <v>15385.7656839642</v>
      </c>
      <c r="H97" s="62"/>
      <c r="I97" s="62">
        <f t="shared" si="6"/>
        <v>16.670029423216988</v>
      </c>
    </row>
    <row r="98" spans="2:9" x14ac:dyDescent="0.25">
      <c r="C98" s="7">
        <v>2008</v>
      </c>
      <c r="D98" s="62">
        <v>527.62846756147042</v>
      </c>
      <c r="E98" s="128">
        <v>543.27868568762096</v>
      </c>
      <c r="F98" s="62">
        <f t="shared" si="5"/>
        <v>14773.597091721171</v>
      </c>
      <c r="G98" s="62">
        <f t="shared" si="4"/>
        <v>15211.803199253387</v>
      </c>
      <c r="H98" s="62"/>
      <c r="I98" s="62">
        <f t="shared" si="6"/>
        <v>15.650218126150548</v>
      </c>
    </row>
    <row r="99" spans="2:9" x14ac:dyDescent="0.25">
      <c r="C99" s="7">
        <v>2009</v>
      </c>
      <c r="D99" s="62">
        <v>513.08519096287603</v>
      </c>
      <c r="E99" s="128">
        <v>528.49395261365862</v>
      </c>
      <c r="F99" s="62">
        <f t="shared" si="5"/>
        <v>14366.385346960529</v>
      </c>
      <c r="G99" s="62">
        <f t="shared" si="4"/>
        <v>14797.830673182441</v>
      </c>
      <c r="H99" s="62"/>
      <c r="I99" s="62">
        <f t="shared" si="6"/>
        <v>15.408761650782594</v>
      </c>
    </row>
    <row r="100" spans="2:9" x14ac:dyDescent="0.25">
      <c r="C100" s="7">
        <v>2010</v>
      </c>
      <c r="D100" s="62">
        <v>503.06656688343463</v>
      </c>
      <c r="E100" s="128">
        <v>530.88913019285485</v>
      </c>
      <c r="F100" s="62">
        <f t="shared" si="5"/>
        <v>14085.86387273617</v>
      </c>
      <c r="G100" s="62">
        <f t="shared" si="4"/>
        <v>14864.895645399936</v>
      </c>
      <c r="H100" s="62"/>
      <c r="I100" s="62">
        <f t="shared" si="6"/>
        <v>27.822563309420218</v>
      </c>
    </row>
    <row r="101" spans="2:9" x14ac:dyDescent="0.25">
      <c r="C101" s="7">
        <v>2011</v>
      </c>
      <c r="D101" s="62">
        <v>500.95395013232263</v>
      </c>
      <c r="E101" s="128">
        <v>520.67847685625952</v>
      </c>
      <c r="F101" s="62">
        <f t="shared" si="5"/>
        <v>14026.710603705034</v>
      </c>
      <c r="G101" s="62">
        <f t="shared" si="4"/>
        <v>14578.997351975268</v>
      </c>
      <c r="H101" s="62"/>
      <c r="I101" s="62">
        <f t="shared" si="6"/>
        <v>19.72452672393689</v>
      </c>
    </row>
    <row r="102" spans="2:9" x14ac:dyDescent="0.25">
      <c r="C102" s="7">
        <v>2012</v>
      </c>
      <c r="D102" s="62">
        <v>526.23077246577418</v>
      </c>
      <c r="E102" s="128">
        <v>541.22860081163014</v>
      </c>
      <c r="F102" s="62">
        <f t="shared" si="5"/>
        <v>14734.461629041678</v>
      </c>
      <c r="G102" s="62">
        <f t="shared" si="4"/>
        <v>15154.400822725644</v>
      </c>
      <c r="H102" s="62"/>
      <c r="I102" s="62">
        <f t="shared" si="6"/>
        <v>14.997828345855964</v>
      </c>
    </row>
    <row r="103" spans="2:9" x14ac:dyDescent="0.25">
      <c r="C103" s="7">
        <v>2013</v>
      </c>
      <c r="D103" s="62">
        <v>537.56478644797323</v>
      </c>
      <c r="E103" s="128">
        <v>555.63293823158551</v>
      </c>
      <c r="F103" s="62">
        <f t="shared" si="5"/>
        <v>15051.81402054325</v>
      </c>
      <c r="G103" s="62">
        <f t="shared" si="4"/>
        <v>15557.722270484395</v>
      </c>
      <c r="H103" s="62"/>
      <c r="I103" s="62">
        <f t="shared" si="6"/>
        <v>18.068151783612279</v>
      </c>
    </row>
    <row r="104" spans="2:9" x14ac:dyDescent="0.25">
      <c r="C104" s="7">
        <v>2014</v>
      </c>
      <c r="D104" s="62">
        <v>540.47905956105933</v>
      </c>
      <c r="E104" s="128">
        <v>564.69371673730473</v>
      </c>
      <c r="F104" s="62">
        <f t="shared" si="5"/>
        <v>15133.413667709661</v>
      </c>
      <c r="G104" s="62">
        <f t="shared" si="4"/>
        <v>15811.424068644532</v>
      </c>
      <c r="H104" s="62"/>
      <c r="I104" s="62">
        <f t="shared" si="6"/>
        <v>24.214657176245396</v>
      </c>
    </row>
    <row r="105" spans="2:9" x14ac:dyDescent="0.25">
      <c r="C105" s="7">
        <v>2015</v>
      </c>
      <c r="D105" s="62">
        <v>561.50377790161735</v>
      </c>
      <c r="E105" s="128">
        <v>579.12274054536715</v>
      </c>
      <c r="F105" s="62">
        <f t="shared" si="5"/>
        <v>15722.105781245285</v>
      </c>
      <c r="G105" s="62">
        <f t="shared" si="4"/>
        <v>16215.436735270279</v>
      </c>
      <c r="H105" s="62"/>
      <c r="I105" s="62">
        <f t="shared" si="6"/>
        <v>17.618962643749796</v>
      </c>
    </row>
    <row r="106" spans="2:9" x14ac:dyDescent="0.25">
      <c r="C106" s="7">
        <v>2016</v>
      </c>
      <c r="D106" s="62">
        <v>576.92369462688077</v>
      </c>
      <c r="E106" s="128">
        <v>593.26897730059022</v>
      </c>
      <c r="F106" s="62">
        <f t="shared" si="5"/>
        <v>16153.863449552662</v>
      </c>
      <c r="G106" s="62">
        <f t="shared" si="4"/>
        <v>16611.531364416525</v>
      </c>
      <c r="H106" s="62"/>
      <c r="I106" s="62">
        <f t="shared" si="6"/>
        <v>16.345282673709448</v>
      </c>
    </row>
    <row r="107" spans="2:9" x14ac:dyDescent="0.25">
      <c r="C107" s="7">
        <v>2017</v>
      </c>
      <c r="D107" s="62">
        <v>593.02042800180413</v>
      </c>
      <c r="E107" s="128">
        <v>620.03341514735052</v>
      </c>
      <c r="F107" s="62">
        <f t="shared" si="5"/>
        <v>16604.571984050515</v>
      </c>
      <c r="G107" s="62">
        <f t="shared" si="4"/>
        <v>17360.935624125814</v>
      </c>
      <c r="H107" s="62"/>
      <c r="I107" s="62">
        <f t="shared" si="6"/>
        <v>27.01298714554639</v>
      </c>
    </row>
    <row r="108" spans="2:9" x14ac:dyDescent="0.25">
      <c r="B108" s="62"/>
      <c r="C108" s="7">
        <v>2018</v>
      </c>
      <c r="D108" s="62">
        <v>605.5734477899598</v>
      </c>
      <c r="E108" s="128">
        <v>623.98515281643699</v>
      </c>
      <c r="F108" s="62">
        <f t="shared" si="5"/>
        <v>16956.056538118875</v>
      </c>
      <c r="G108" s="62">
        <f t="shared" si="4"/>
        <v>17471.584278860235</v>
      </c>
      <c r="H108" s="62"/>
      <c r="I108" s="62">
        <f t="shared" si="6"/>
        <v>18.411705026477193</v>
      </c>
    </row>
    <row r="109" spans="2:9" x14ac:dyDescent="0.25">
      <c r="C109" s="7">
        <v>2019</v>
      </c>
      <c r="D109" s="62">
        <v>589.22091624152586</v>
      </c>
      <c r="E109" s="128">
        <v>606.22949802302605</v>
      </c>
      <c r="F109" s="62">
        <f>D109*$B$79</f>
        <v>16498.185654762725</v>
      </c>
      <c r="G109" s="62">
        <f>E109*$B$79</f>
        <v>16974.425944644729</v>
      </c>
      <c r="H109" s="62"/>
      <c r="I109" s="62">
        <f>E109-D109</f>
        <v>17.008581781500197</v>
      </c>
    </row>
    <row r="115" spans="1:34" x14ac:dyDescent="0.25">
      <c r="A115" s="7" t="s">
        <v>1</v>
      </c>
      <c r="B115" s="7">
        <v>1990</v>
      </c>
      <c r="C115" s="7">
        <v>1990</v>
      </c>
      <c r="D115" s="7">
        <f>C115+1</f>
        <v>1991</v>
      </c>
      <c r="E115" s="7">
        <f t="shared" ref="E115:Z115" si="7">D115+1</f>
        <v>1992</v>
      </c>
      <c r="F115" s="7">
        <f t="shared" si="7"/>
        <v>1993</v>
      </c>
      <c r="G115" s="7">
        <f t="shared" si="7"/>
        <v>1994</v>
      </c>
      <c r="H115" s="7">
        <f t="shared" si="7"/>
        <v>1995</v>
      </c>
      <c r="I115" s="7">
        <f t="shared" si="7"/>
        <v>1996</v>
      </c>
      <c r="J115" s="7">
        <f t="shared" si="7"/>
        <v>1997</v>
      </c>
      <c r="K115" s="7">
        <f t="shared" si="7"/>
        <v>1998</v>
      </c>
      <c r="L115" s="7">
        <f t="shared" si="7"/>
        <v>1999</v>
      </c>
      <c r="M115" s="7">
        <f t="shared" si="7"/>
        <v>2000</v>
      </c>
      <c r="N115" s="7">
        <f t="shared" si="7"/>
        <v>2001</v>
      </c>
      <c r="O115" s="7">
        <f t="shared" si="7"/>
        <v>2002</v>
      </c>
      <c r="P115" s="7">
        <f t="shared" si="7"/>
        <v>2003</v>
      </c>
      <c r="Q115" s="7">
        <f t="shared" si="7"/>
        <v>2004</v>
      </c>
      <c r="R115" s="7">
        <f t="shared" si="7"/>
        <v>2005</v>
      </c>
      <c r="S115" s="7">
        <f t="shared" si="7"/>
        <v>2006</v>
      </c>
      <c r="T115" s="7">
        <f t="shared" si="7"/>
        <v>2007</v>
      </c>
      <c r="U115" s="7">
        <f t="shared" si="7"/>
        <v>2008</v>
      </c>
      <c r="V115" s="7">
        <f t="shared" si="7"/>
        <v>2009</v>
      </c>
      <c r="W115" s="7">
        <f t="shared" si="7"/>
        <v>2010</v>
      </c>
      <c r="X115" s="7">
        <f t="shared" si="7"/>
        <v>2011</v>
      </c>
      <c r="Y115" s="7">
        <f t="shared" si="7"/>
        <v>2012</v>
      </c>
      <c r="Z115" s="7">
        <f t="shared" si="7"/>
        <v>2013</v>
      </c>
      <c r="AA115" s="7">
        <f t="shared" ref="AA115:AF115" si="8">Z115+1</f>
        <v>2014</v>
      </c>
      <c r="AB115" s="7">
        <f t="shared" si="8"/>
        <v>2015</v>
      </c>
      <c r="AC115" s="7">
        <f t="shared" si="8"/>
        <v>2016</v>
      </c>
      <c r="AD115" s="7">
        <f t="shared" si="8"/>
        <v>2017</v>
      </c>
      <c r="AE115" s="7">
        <f t="shared" si="8"/>
        <v>2018</v>
      </c>
      <c r="AF115" s="7">
        <f t="shared" si="8"/>
        <v>2019</v>
      </c>
    </row>
    <row r="116" spans="1:34" x14ac:dyDescent="0.25">
      <c r="A116" s="57" t="str">
        <f>A47</f>
        <v>5.  Waste</v>
      </c>
      <c r="B116" s="57">
        <f t="shared" ref="B116:Z116" si="9">B47</f>
        <v>55.209048315890939</v>
      </c>
      <c r="C116" s="57">
        <f t="shared" si="9"/>
        <v>55.209048315890939</v>
      </c>
      <c r="D116" s="57">
        <f t="shared" si="9"/>
        <v>58.44396510975001</v>
      </c>
      <c r="E116" s="57">
        <f t="shared" si="9"/>
        <v>60.980588062435238</v>
      </c>
      <c r="F116" s="57">
        <f t="shared" si="9"/>
        <v>62.962705465571489</v>
      </c>
      <c r="G116" s="57">
        <f t="shared" si="9"/>
        <v>64.79190899606219</v>
      </c>
      <c r="H116" s="57">
        <f t="shared" si="9"/>
        <v>66.269438990153233</v>
      </c>
      <c r="I116" s="57">
        <f t="shared" si="9"/>
        <v>61.420534635809219</v>
      </c>
      <c r="J116" s="57">
        <f t="shared" si="9"/>
        <v>50.960277319163623</v>
      </c>
      <c r="K116" s="57">
        <f t="shared" si="9"/>
        <v>53.281525236420798</v>
      </c>
      <c r="L116" s="57">
        <f t="shared" si="9"/>
        <v>53.074151376843162</v>
      </c>
      <c r="M116" s="57">
        <f t="shared" si="9"/>
        <v>53.293657699923777</v>
      </c>
      <c r="N116" s="57">
        <f t="shared" si="9"/>
        <v>57.276592022116397</v>
      </c>
      <c r="O116" s="57">
        <f t="shared" si="9"/>
        <v>60.433023475858043</v>
      </c>
      <c r="P116" s="57">
        <f t="shared" si="9"/>
        <v>60.72518835345879</v>
      </c>
      <c r="Q116" s="57">
        <f t="shared" si="9"/>
        <v>49.907004776952597</v>
      </c>
      <c r="R116" s="57">
        <f t="shared" si="9"/>
        <v>42.667573093584039</v>
      </c>
      <c r="S116" s="57">
        <f t="shared" si="9"/>
        <v>44.162069572307828</v>
      </c>
      <c r="T116" s="57">
        <f t="shared" si="9"/>
        <v>26.702323898640731</v>
      </c>
      <c r="U116" s="57">
        <f t="shared" si="9"/>
        <v>20.98482119435203</v>
      </c>
      <c r="V116" s="57">
        <f t="shared" si="9"/>
        <v>13.95561889447648</v>
      </c>
      <c r="W116" s="57">
        <f t="shared" si="9"/>
        <v>14.2497642501489</v>
      </c>
      <c r="X116" s="57">
        <f t="shared" si="9"/>
        <v>18.513069495751569</v>
      </c>
      <c r="Y116" s="57">
        <f t="shared" si="9"/>
        <v>15.191930560703</v>
      </c>
      <c r="Z116" s="57">
        <f t="shared" si="9"/>
        <v>21.548077768687111</v>
      </c>
      <c r="AA116" s="57">
        <f t="shared" ref="AA116:AF116" si="10">AA47</f>
        <v>29.142712676175641</v>
      </c>
      <c r="AB116" s="57">
        <f t="shared" si="10"/>
        <v>32.079917049127879</v>
      </c>
      <c r="AC116" s="57">
        <f t="shared" si="10"/>
        <v>33.035547395499009</v>
      </c>
      <c r="AD116" s="57">
        <f t="shared" si="10"/>
        <v>31.83969400138098</v>
      </c>
      <c r="AE116" s="57">
        <f t="shared" si="10"/>
        <v>30.799678166833431</v>
      </c>
      <c r="AF116" s="57">
        <f t="shared" si="10"/>
        <v>30.204367308207608</v>
      </c>
    </row>
    <row r="117" spans="1:34" x14ac:dyDescent="0.25">
      <c r="A117" s="7" t="s">
        <v>233</v>
      </c>
      <c r="B117" s="85">
        <f>B116/B54</f>
        <v>0.1003650679856425</v>
      </c>
      <c r="C117" s="85">
        <f t="shared" ref="C117:AF117" si="11">C116/C54</f>
        <v>0.1003650679856425</v>
      </c>
      <c r="D117" s="85">
        <f t="shared" si="11"/>
        <v>0.10405434681590862</v>
      </c>
      <c r="E117" s="85">
        <f t="shared" si="11"/>
        <v>0.10693289736541924</v>
      </c>
      <c r="F117" s="85">
        <f t="shared" si="11"/>
        <v>0.1092796437816078</v>
      </c>
      <c r="G117" s="85">
        <f t="shared" si="11"/>
        <v>0.11220038782405571</v>
      </c>
      <c r="H117" s="85">
        <f t="shared" si="11"/>
        <v>0.11381278247879333</v>
      </c>
      <c r="I117" s="85">
        <f t="shared" si="11"/>
        <v>0.10318912788654099</v>
      </c>
      <c r="J117" s="85">
        <f t="shared" si="11"/>
        <v>8.5169056169105792E-2</v>
      </c>
      <c r="K117" s="85">
        <f t="shared" si="11"/>
        <v>8.7158823432038471E-2</v>
      </c>
      <c r="L117" s="85">
        <f t="shared" si="11"/>
        <v>8.9172217801985962E-2</v>
      </c>
      <c r="M117" s="85">
        <f t="shared" si="11"/>
        <v>9.2607925791238568E-2</v>
      </c>
      <c r="N117" s="85">
        <f t="shared" si="11"/>
        <v>9.8617693381679111E-2</v>
      </c>
      <c r="O117" s="85">
        <f t="shared" si="11"/>
        <v>0.10404276502462016</v>
      </c>
      <c r="P117" s="85">
        <f t="shared" si="11"/>
        <v>9.9796036930529186E-2</v>
      </c>
      <c r="Q117" s="85">
        <f t="shared" si="11"/>
        <v>8.7847060576008079E-2</v>
      </c>
      <c r="R117" s="85">
        <f t="shared" si="11"/>
        <v>7.6084869584524858E-2</v>
      </c>
      <c r="S117" s="85">
        <f t="shared" si="11"/>
        <v>7.7990842237669417E-2</v>
      </c>
      <c r="T117" s="85">
        <f t="shared" si="11"/>
        <v>5.0114942395442126E-2</v>
      </c>
      <c r="U117" s="85">
        <f t="shared" si="11"/>
        <v>3.9771965472858474E-2</v>
      </c>
      <c r="V117" s="85">
        <f t="shared" si="11"/>
        <v>2.7199418615623677E-2</v>
      </c>
      <c r="W117" s="85">
        <f t="shared" si="11"/>
        <v>2.8325802564118135E-2</v>
      </c>
      <c r="X117" s="85">
        <f t="shared" si="11"/>
        <v>3.695563133270334E-2</v>
      </c>
      <c r="Y117" s="85">
        <f t="shared" si="11"/>
        <v>2.8869331395269319E-2</v>
      </c>
      <c r="Z117" s="85">
        <f t="shared" si="11"/>
        <v>4.0084615495499132E-2</v>
      </c>
      <c r="AA117" s="85">
        <f t="shared" si="11"/>
        <v>5.3920151318801117E-2</v>
      </c>
      <c r="AB117" s="85">
        <f t="shared" si="11"/>
        <v>5.7132148191438685E-2</v>
      </c>
      <c r="AC117" s="85">
        <f t="shared" si="11"/>
        <v>5.7261554176353244E-2</v>
      </c>
      <c r="AD117" s="85">
        <f t="shared" si="11"/>
        <v>5.3690720416943401E-2</v>
      </c>
      <c r="AE117" s="85">
        <f t="shared" si="11"/>
        <v>5.0860351092401508E-2</v>
      </c>
      <c r="AF117" s="85">
        <f t="shared" si="11"/>
        <v>5.1261532772585119E-2</v>
      </c>
    </row>
    <row r="118" spans="1:34" x14ac:dyDescent="0.25">
      <c r="A118" s="7" t="s">
        <v>234</v>
      </c>
      <c r="B118" s="85">
        <f>B116/B55</f>
        <v>9.7119320034687456E-2</v>
      </c>
      <c r="C118" s="85">
        <f t="shared" ref="C118:AF118" si="12">C116/C55</f>
        <v>9.7119320034687456E-2</v>
      </c>
      <c r="D118" s="85">
        <f t="shared" si="12"/>
        <v>0.10094036668010721</v>
      </c>
      <c r="E118" s="85">
        <f t="shared" si="12"/>
        <v>0.10399443802555242</v>
      </c>
      <c r="F118" s="85">
        <f t="shared" si="12"/>
        <v>0.10584924372272228</v>
      </c>
      <c r="G118" s="85">
        <f t="shared" si="12"/>
        <v>0.10884530060762308</v>
      </c>
      <c r="H118" s="85">
        <f t="shared" si="12"/>
        <v>0.11034025168712221</v>
      </c>
      <c r="I118" s="85">
        <f t="shared" si="12"/>
        <v>9.9852783546003951E-2</v>
      </c>
      <c r="J118" s="85">
        <f t="shared" si="12"/>
        <v>8.2877422037157256E-2</v>
      </c>
      <c r="K118" s="85">
        <f t="shared" si="12"/>
        <v>8.4993286229068737E-2</v>
      </c>
      <c r="L118" s="85">
        <f t="shared" si="12"/>
        <v>8.7027077887058713E-2</v>
      </c>
      <c r="M118" s="85">
        <f t="shared" si="12"/>
        <v>8.9899065134525363E-2</v>
      </c>
      <c r="N118" s="85">
        <f t="shared" si="12"/>
        <v>9.4431790305556262E-2</v>
      </c>
      <c r="O118" s="85">
        <f t="shared" si="12"/>
        <v>0.10142469452967544</v>
      </c>
      <c r="P118" s="85">
        <f t="shared" si="12"/>
        <v>9.6148483195104814E-2</v>
      </c>
      <c r="Q118" s="85">
        <f t="shared" si="12"/>
        <v>8.5063641862180822E-2</v>
      </c>
      <c r="R118" s="85">
        <f t="shared" si="12"/>
        <v>7.3696674090173206E-2</v>
      </c>
      <c r="S118" s="85">
        <f t="shared" si="12"/>
        <v>7.5664161540970401E-2</v>
      </c>
      <c r="T118" s="85">
        <f t="shared" si="12"/>
        <v>4.8594596103929598E-2</v>
      </c>
      <c r="U118" s="85">
        <f t="shared" si="12"/>
        <v>3.8626255266745478E-2</v>
      </c>
      <c r="V118" s="85">
        <f t="shared" si="12"/>
        <v>2.6406392779821194E-2</v>
      </c>
      <c r="W118" s="85">
        <f t="shared" si="12"/>
        <v>2.6841318534761526E-2</v>
      </c>
      <c r="X118" s="85">
        <f t="shared" si="12"/>
        <v>3.5555664999885057E-2</v>
      </c>
      <c r="Y118" s="85">
        <f t="shared" si="12"/>
        <v>2.8069341749347828E-2</v>
      </c>
      <c r="Z118" s="85">
        <f t="shared" si="12"/>
        <v>3.8781138204780005E-2</v>
      </c>
      <c r="AA118" s="85">
        <f t="shared" si="12"/>
        <v>5.1607998836177629E-2</v>
      </c>
      <c r="AB118" s="85">
        <f t="shared" si="12"/>
        <v>5.5393986115823766E-2</v>
      </c>
      <c r="AC118" s="85">
        <f t="shared" si="12"/>
        <v>5.568392863859619E-2</v>
      </c>
      <c r="AD118" s="85">
        <f t="shared" si="12"/>
        <v>5.1351577549758831E-2</v>
      </c>
      <c r="AE118" s="85">
        <f t="shared" si="12"/>
        <v>4.9359633042252903E-2</v>
      </c>
      <c r="AF118" s="85">
        <f t="shared" si="12"/>
        <v>4.9823321706889911E-2</v>
      </c>
    </row>
    <row r="119" spans="1:34" x14ac:dyDescent="0.25">
      <c r="A119" s="7" t="s">
        <v>235</v>
      </c>
      <c r="B119" s="85">
        <f>B116/$B116</f>
        <v>1</v>
      </c>
      <c r="C119" s="85">
        <f t="shared" ref="C119:AF119" si="13">C116/$B116</f>
        <v>1</v>
      </c>
      <c r="D119" s="85">
        <f t="shared" si="13"/>
        <v>1.0585939604564414</v>
      </c>
      <c r="E119" s="85">
        <f t="shared" si="13"/>
        <v>1.1045397434406248</v>
      </c>
      <c r="F119" s="85">
        <f t="shared" si="13"/>
        <v>1.1404417823925574</v>
      </c>
      <c r="G119" s="85">
        <f t="shared" si="13"/>
        <v>1.1735740965020944</v>
      </c>
      <c r="H119" s="85">
        <f t="shared" si="13"/>
        <v>1.2003365573515739</v>
      </c>
      <c r="I119" s="85">
        <f t="shared" si="13"/>
        <v>1.1125084838336257</v>
      </c>
      <c r="J119" s="85">
        <f t="shared" si="13"/>
        <v>0.92304212576864175</v>
      </c>
      <c r="K119" s="85">
        <f t="shared" si="13"/>
        <v>0.9650868265571001</v>
      </c>
      <c r="L119" s="85">
        <f t="shared" si="13"/>
        <v>0.96133066944330414</v>
      </c>
      <c r="M119" s="85">
        <f t="shared" si="13"/>
        <v>0.9653065815406231</v>
      </c>
      <c r="N119" s="85">
        <f t="shared" si="13"/>
        <v>1.0374493632709541</v>
      </c>
      <c r="O119" s="85">
        <f t="shared" si="13"/>
        <v>1.0946217208830871</v>
      </c>
      <c r="P119" s="85">
        <f t="shared" si="13"/>
        <v>1.0999136954146722</v>
      </c>
      <c r="Q119" s="85">
        <f t="shared" si="13"/>
        <v>0.90396422867857618</v>
      </c>
      <c r="R119" s="85">
        <f t="shared" si="13"/>
        <v>0.77283659825925566</v>
      </c>
      <c r="S119" s="85">
        <f t="shared" si="13"/>
        <v>0.79990637258633135</v>
      </c>
      <c r="T119" s="85">
        <f t="shared" si="13"/>
        <v>0.48365847108715593</v>
      </c>
      <c r="U119" s="85">
        <f t="shared" si="13"/>
        <v>0.38009749913243701</v>
      </c>
      <c r="V119" s="85">
        <f t="shared" si="13"/>
        <v>0.2527777478544147</v>
      </c>
      <c r="W119" s="85">
        <f t="shared" si="13"/>
        <v>0.25810559473178529</v>
      </c>
      <c r="X119" s="85">
        <f t="shared" si="13"/>
        <v>0.33532672742020281</v>
      </c>
      <c r="Y119" s="85">
        <f t="shared" si="13"/>
        <v>0.27517102765073881</v>
      </c>
      <c r="Z119" s="85">
        <f t="shared" si="13"/>
        <v>0.39029975024012292</v>
      </c>
      <c r="AA119" s="85">
        <f t="shared" si="13"/>
        <v>0.52786116705778152</v>
      </c>
      <c r="AB119" s="85">
        <f t="shared" si="13"/>
        <v>0.58106267048066917</v>
      </c>
      <c r="AC119" s="85">
        <f t="shared" si="13"/>
        <v>0.59837197711648138</v>
      </c>
      <c r="AD119" s="85">
        <f t="shared" si="13"/>
        <v>0.57671151690938482</v>
      </c>
      <c r="AE119" s="85">
        <f t="shared" si="13"/>
        <v>0.5578737382069362</v>
      </c>
      <c r="AF119" s="85">
        <f t="shared" si="13"/>
        <v>0.54709088871422951</v>
      </c>
      <c r="AH119" s="85"/>
    </row>
    <row r="120" spans="1:34" x14ac:dyDescent="0.25">
      <c r="B120" s="85">
        <f t="shared" ref="B120:AE120" si="14">1-B119</f>
        <v>0</v>
      </c>
      <c r="C120" s="85">
        <f t="shared" si="14"/>
        <v>0</v>
      </c>
      <c r="D120" s="85">
        <f t="shared" si="14"/>
        <v>-5.8593960456441385E-2</v>
      </c>
      <c r="E120" s="85">
        <f t="shared" si="14"/>
        <v>-0.10453974344062478</v>
      </c>
      <c r="F120" s="85">
        <f t="shared" si="14"/>
        <v>-0.14044178239255745</v>
      </c>
      <c r="G120" s="85">
        <f t="shared" si="14"/>
        <v>-0.17357409650209443</v>
      </c>
      <c r="H120" s="85">
        <f t="shared" si="14"/>
        <v>-0.20033655735157385</v>
      </c>
      <c r="I120" s="85">
        <f t="shared" si="14"/>
        <v>-0.11250848383362566</v>
      </c>
      <c r="J120" s="85">
        <f t="shared" si="14"/>
        <v>7.6957874231358248E-2</v>
      </c>
      <c r="K120" s="85">
        <f t="shared" si="14"/>
        <v>3.4913173442899903E-2</v>
      </c>
      <c r="L120" s="85">
        <f t="shared" si="14"/>
        <v>3.8669330556695858E-2</v>
      </c>
      <c r="M120" s="85">
        <f t="shared" si="14"/>
        <v>3.4693418459376901E-2</v>
      </c>
      <c r="N120" s="85">
        <f t="shared" si="14"/>
        <v>-3.744936327095405E-2</v>
      </c>
      <c r="O120" s="85">
        <f t="shared" si="14"/>
        <v>-9.4621720883087068E-2</v>
      </c>
      <c r="P120" s="85">
        <f t="shared" si="14"/>
        <v>-9.991369541467221E-2</v>
      </c>
      <c r="Q120" s="85">
        <f t="shared" si="14"/>
        <v>9.6035771321423824E-2</v>
      </c>
      <c r="R120" s="85">
        <f t="shared" si="14"/>
        <v>0.22716340174074434</v>
      </c>
      <c r="S120" s="85">
        <f t="shared" si="14"/>
        <v>0.20009362741366865</v>
      </c>
      <c r="T120" s="85">
        <f t="shared" si="14"/>
        <v>0.51634152891284413</v>
      </c>
      <c r="U120" s="85">
        <f t="shared" si="14"/>
        <v>0.61990250086756293</v>
      </c>
      <c r="V120" s="85">
        <f t="shared" si="14"/>
        <v>0.74722225214558535</v>
      </c>
      <c r="W120" s="85">
        <f t="shared" si="14"/>
        <v>0.74189440526821471</v>
      </c>
      <c r="X120" s="85">
        <f t="shared" si="14"/>
        <v>0.66467327257979725</v>
      </c>
      <c r="Y120" s="85">
        <f t="shared" si="14"/>
        <v>0.72482897234926114</v>
      </c>
      <c r="Z120" s="85">
        <f t="shared" si="14"/>
        <v>0.60970024975987713</v>
      </c>
      <c r="AA120" s="85">
        <f t="shared" si="14"/>
        <v>0.47213883294221848</v>
      </c>
      <c r="AB120" s="85">
        <f t="shared" si="14"/>
        <v>0.41893732951933083</v>
      </c>
      <c r="AC120" s="85">
        <f t="shared" si="14"/>
        <v>0.40162802288351862</v>
      </c>
      <c r="AD120" s="85">
        <f t="shared" si="14"/>
        <v>0.42328848309061518</v>
      </c>
      <c r="AE120" s="85">
        <f t="shared" si="14"/>
        <v>0.4421262617930638</v>
      </c>
      <c r="AF120" s="85">
        <f>1-AF119</f>
        <v>0.45290911128577049</v>
      </c>
    </row>
    <row r="124" spans="1:34" x14ac:dyDescent="0.25">
      <c r="A124" s="7" t="str">
        <f>A27</f>
        <v>3.  Agriculture</v>
      </c>
      <c r="B124" s="59">
        <f t="shared" ref="B124" si="15">B27</f>
        <v>470.16874451957005</v>
      </c>
      <c r="C124" s="59">
        <f t="shared" ref="C124:AF124" si="16">C27</f>
        <v>470.16874451957005</v>
      </c>
      <c r="D124" s="59">
        <f t="shared" si="16"/>
        <v>479.24431850645732</v>
      </c>
      <c r="E124" s="59">
        <f t="shared" si="16"/>
        <v>488.10142981228455</v>
      </c>
      <c r="F124" s="59">
        <f t="shared" si="16"/>
        <v>492.34236659020274</v>
      </c>
      <c r="G124" s="59">
        <f t="shared" si="16"/>
        <v>493.5941750749858</v>
      </c>
      <c r="H124" s="59">
        <f t="shared" si="16"/>
        <v>498.11222002208041</v>
      </c>
      <c r="I124" s="59">
        <f t="shared" si="16"/>
        <v>515.88018483703377</v>
      </c>
      <c r="J124" s="59">
        <f t="shared" si="16"/>
        <v>531.03665552309053</v>
      </c>
      <c r="K124" s="59">
        <f t="shared" si="16"/>
        <v>541.52440392641654</v>
      </c>
      <c r="L124" s="59">
        <f t="shared" si="16"/>
        <v>528.03354450850281</v>
      </c>
      <c r="M124" s="59">
        <f t="shared" si="16"/>
        <v>508.03175135981115</v>
      </c>
      <c r="N124" s="59">
        <f t="shared" si="16"/>
        <v>509.20493588384238</v>
      </c>
      <c r="O124" s="59">
        <f t="shared" si="16"/>
        <v>507.26737100162342</v>
      </c>
      <c r="P124" s="59">
        <f t="shared" si="16"/>
        <v>508.39145342471102</v>
      </c>
      <c r="Q124" s="59">
        <f t="shared" si="16"/>
        <v>505.36668805932885</v>
      </c>
      <c r="R124" s="59">
        <f t="shared" si="16"/>
        <v>505.22374644850333</v>
      </c>
      <c r="S124" s="59">
        <f t="shared" si="16"/>
        <v>509.04325141460669</v>
      </c>
      <c r="T124" s="59">
        <f t="shared" si="16"/>
        <v>492.99388132545783</v>
      </c>
      <c r="U124" s="59">
        <f t="shared" si="16"/>
        <v>493.46221579987798</v>
      </c>
      <c r="V124" s="59">
        <f t="shared" si="16"/>
        <v>485.95921873698205</v>
      </c>
      <c r="W124" s="59">
        <f t="shared" si="16"/>
        <v>475.8832933851067</v>
      </c>
      <c r="X124" s="59">
        <f t="shared" si="16"/>
        <v>470.60151886860496</v>
      </c>
      <c r="Y124" s="59">
        <f t="shared" si="16"/>
        <v>499.35763151690838</v>
      </c>
      <c r="Z124" s="59">
        <f t="shared" si="16"/>
        <v>503.89925217197555</v>
      </c>
      <c r="AA124" s="59">
        <f t="shared" si="16"/>
        <v>500.1731122404961</v>
      </c>
      <c r="AB124" s="59">
        <f t="shared" si="16"/>
        <v>518.38702262762763</v>
      </c>
      <c r="AC124" s="59">
        <f t="shared" si="16"/>
        <v>533.21097900762049</v>
      </c>
      <c r="AD124" s="59">
        <f t="shared" si="16"/>
        <v>550.59988950839795</v>
      </c>
      <c r="AE124" s="59">
        <f t="shared" si="16"/>
        <v>563.31714539354164</v>
      </c>
      <c r="AF124" s="59">
        <f t="shared" si="16"/>
        <v>548.93919920787016</v>
      </c>
    </row>
    <row r="125" spans="1:34" x14ac:dyDescent="0.25">
      <c r="A125" s="57" t="str">
        <f>A116</f>
        <v>5.  Waste</v>
      </c>
      <c r="B125" s="59">
        <f t="shared" ref="B125" si="17">B116</f>
        <v>55.209048315890939</v>
      </c>
      <c r="C125" s="59">
        <f t="shared" ref="C125:AF125" si="18">C116</f>
        <v>55.209048315890939</v>
      </c>
      <c r="D125" s="59">
        <f t="shared" si="18"/>
        <v>58.44396510975001</v>
      </c>
      <c r="E125" s="59">
        <f t="shared" si="18"/>
        <v>60.980588062435238</v>
      </c>
      <c r="F125" s="59">
        <f t="shared" si="18"/>
        <v>62.962705465571489</v>
      </c>
      <c r="G125" s="59">
        <f t="shared" si="18"/>
        <v>64.79190899606219</v>
      </c>
      <c r="H125" s="59">
        <f t="shared" si="18"/>
        <v>66.269438990153233</v>
      </c>
      <c r="I125" s="59">
        <f t="shared" si="18"/>
        <v>61.420534635809219</v>
      </c>
      <c r="J125" s="59">
        <f t="shared" si="18"/>
        <v>50.960277319163623</v>
      </c>
      <c r="K125" s="59">
        <f t="shared" si="18"/>
        <v>53.281525236420798</v>
      </c>
      <c r="L125" s="59">
        <f t="shared" si="18"/>
        <v>53.074151376843162</v>
      </c>
      <c r="M125" s="59">
        <f t="shared" si="18"/>
        <v>53.293657699923777</v>
      </c>
      <c r="N125" s="59">
        <f t="shared" si="18"/>
        <v>57.276592022116397</v>
      </c>
      <c r="O125" s="59">
        <f t="shared" si="18"/>
        <v>60.433023475858043</v>
      </c>
      <c r="P125" s="59">
        <f t="shared" si="18"/>
        <v>60.72518835345879</v>
      </c>
      <c r="Q125" s="59">
        <f t="shared" si="18"/>
        <v>49.907004776952597</v>
      </c>
      <c r="R125" s="59">
        <f t="shared" si="18"/>
        <v>42.667573093584039</v>
      </c>
      <c r="S125" s="59">
        <f t="shared" si="18"/>
        <v>44.162069572307828</v>
      </c>
      <c r="T125" s="59">
        <f t="shared" si="18"/>
        <v>26.702323898640731</v>
      </c>
      <c r="U125" s="59">
        <f t="shared" si="18"/>
        <v>20.98482119435203</v>
      </c>
      <c r="V125" s="59">
        <f t="shared" si="18"/>
        <v>13.95561889447648</v>
      </c>
      <c r="W125" s="59">
        <f t="shared" si="18"/>
        <v>14.2497642501489</v>
      </c>
      <c r="X125" s="59">
        <f t="shared" si="18"/>
        <v>18.513069495751569</v>
      </c>
      <c r="Y125" s="59">
        <f t="shared" si="18"/>
        <v>15.191930560703</v>
      </c>
      <c r="Z125" s="59">
        <f t="shared" si="18"/>
        <v>21.548077768687111</v>
      </c>
      <c r="AA125" s="59">
        <f t="shared" si="18"/>
        <v>29.142712676175641</v>
      </c>
      <c r="AB125" s="59">
        <f t="shared" si="18"/>
        <v>32.079917049127879</v>
      </c>
      <c r="AC125" s="59">
        <f t="shared" si="18"/>
        <v>33.035547395499009</v>
      </c>
      <c r="AD125" s="59">
        <f t="shared" si="18"/>
        <v>31.83969400138098</v>
      </c>
      <c r="AE125" s="59">
        <f t="shared" si="18"/>
        <v>30.799678166833431</v>
      </c>
      <c r="AF125" s="59">
        <f t="shared" si="18"/>
        <v>30.204367308207608</v>
      </c>
    </row>
    <row r="126" spans="1:34" x14ac:dyDescent="0.25">
      <c r="A126" s="7" t="s">
        <v>236</v>
      </c>
      <c r="B126" s="59">
        <f>SUM(B124:B125)</f>
        <v>525.37779283546104</v>
      </c>
      <c r="C126" s="59">
        <f t="shared" ref="C126:AF126" si="19">SUM(C124:C125)</f>
        <v>525.37779283546104</v>
      </c>
      <c r="D126" s="59">
        <f t="shared" si="19"/>
        <v>537.68828361620729</v>
      </c>
      <c r="E126" s="59">
        <f t="shared" si="19"/>
        <v>549.08201787471978</v>
      </c>
      <c r="F126" s="59">
        <f t="shared" si="19"/>
        <v>555.30507205577419</v>
      </c>
      <c r="G126" s="59">
        <f t="shared" si="19"/>
        <v>558.386084071048</v>
      </c>
      <c r="H126" s="59">
        <f t="shared" si="19"/>
        <v>564.38165901223363</v>
      </c>
      <c r="I126" s="59">
        <f t="shared" si="19"/>
        <v>577.30071947284296</v>
      </c>
      <c r="J126" s="59">
        <f t="shared" si="19"/>
        <v>581.99693284225418</v>
      </c>
      <c r="K126" s="59">
        <f t="shared" si="19"/>
        <v>594.80592916283729</v>
      </c>
      <c r="L126" s="59">
        <f t="shared" si="19"/>
        <v>581.10769588534595</v>
      </c>
      <c r="M126" s="59">
        <f t="shared" si="19"/>
        <v>561.32540905973497</v>
      </c>
      <c r="N126" s="59">
        <f t="shared" si="19"/>
        <v>566.48152790595873</v>
      </c>
      <c r="O126" s="59">
        <f t="shared" si="19"/>
        <v>567.7003944774815</v>
      </c>
      <c r="P126" s="59">
        <f t="shared" si="19"/>
        <v>569.11664177816976</v>
      </c>
      <c r="Q126" s="59">
        <f t="shared" si="19"/>
        <v>555.2736928362815</v>
      </c>
      <c r="R126" s="59">
        <f t="shared" si="19"/>
        <v>547.89131954208733</v>
      </c>
      <c r="S126" s="59">
        <f t="shared" si="19"/>
        <v>553.20532098691456</v>
      </c>
      <c r="T126" s="59">
        <f t="shared" si="19"/>
        <v>519.69620522409855</v>
      </c>
      <c r="U126" s="59">
        <f t="shared" si="19"/>
        <v>514.44703699422996</v>
      </c>
      <c r="V126" s="59">
        <f t="shared" si="19"/>
        <v>499.91483763145851</v>
      </c>
      <c r="W126" s="59">
        <f t="shared" si="19"/>
        <v>490.13305763525557</v>
      </c>
      <c r="X126" s="59">
        <f t="shared" si="19"/>
        <v>489.11458836435651</v>
      </c>
      <c r="Y126" s="59">
        <f t="shared" si="19"/>
        <v>514.54956207761143</v>
      </c>
      <c r="Z126" s="59">
        <f t="shared" si="19"/>
        <v>525.44732994066271</v>
      </c>
      <c r="AA126" s="59">
        <f t="shared" si="19"/>
        <v>529.31582491667177</v>
      </c>
      <c r="AB126" s="59">
        <f t="shared" si="19"/>
        <v>550.46693967675549</v>
      </c>
      <c r="AC126" s="59">
        <f t="shared" si="19"/>
        <v>566.24652640311956</v>
      </c>
      <c r="AD126" s="59">
        <f t="shared" si="19"/>
        <v>582.43958350977891</v>
      </c>
      <c r="AE126" s="59">
        <f t="shared" si="19"/>
        <v>594.11682356037511</v>
      </c>
      <c r="AF126" s="59">
        <f t="shared" si="19"/>
        <v>579.14356651607773</v>
      </c>
    </row>
    <row r="127" spans="1:34" x14ac:dyDescent="0.25">
      <c r="A127" s="7" t="str">
        <f>A117</f>
        <v>% total excl LULUCF</v>
      </c>
      <c r="B127" s="59">
        <f>B54</f>
        <v>550.0823087549619</v>
      </c>
      <c r="C127" s="59">
        <f t="shared" ref="C127:AF127" si="20">C54</f>
        <v>550.0823087549619</v>
      </c>
      <c r="D127" s="59">
        <f t="shared" si="20"/>
        <v>561.66769479749064</v>
      </c>
      <c r="E127" s="59">
        <f t="shared" si="20"/>
        <v>570.26966971677325</v>
      </c>
      <c r="F127" s="59">
        <f t="shared" si="20"/>
        <v>576.16133514674175</v>
      </c>
      <c r="G127" s="59">
        <f t="shared" si="20"/>
        <v>577.46599858160948</v>
      </c>
      <c r="H127" s="59">
        <f t="shared" si="20"/>
        <v>582.26710169836315</v>
      </c>
      <c r="I127" s="59">
        <f t="shared" si="20"/>
        <v>595.2229260367684</v>
      </c>
      <c r="J127" s="59">
        <f t="shared" si="20"/>
        <v>598.3426330095806</v>
      </c>
      <c r="K127" s="59">
        <f t="shared" si="20"/>
        <v>611.31533375925756</v>
      </c>
      <c r="L127" s="59">
        <f t="shared" si="20"/>
        <v>595.18707378904219</v>
      </c>
      <c r="M127" s="59">
        <f t="shared" si="20"/>
        <v>575.47620513670734</v>
      </c>
      <c r="N127" s="59">
        <f t="shared" si="20"/>
        <v>580.79427796429343</v>
      </c>
      <c r="O127" s="59">
        <f t="shared" si="20"/>
        <v>580.84791827242839</v>
      </c>
      <c r="P127" s="59">
        <f t="shared" si="20"/>
        <v>608.49298450329536</v>
      </c>
      <c r="Q127" s="59">
        <f t="shared" si="20"/>
        <v>568.11240409998084</v>
      </c>
      <c r="R127" s="59">
        <f t="shared" si="20"/>
        <v>560.78919930569657</v>
      </c>
      <c r="S127" s="59">
        <f t="shared" si="20"/>
        <v>566.24686059586668</v>
      </c>
      <c r="T127" s="59">
        <f t="shared" si="20"/>
        <v>532.82160214693306</v>
      </c>
      <c r="U127" s="59">
        <f t="shared" si="20"/>
        <v>527.62846756147042</v>
      </c>
      <c r="V127" s="59">
        <f t="shared" si="20"/>
        <v>513.08519096287603</v>
      </c>
      <c r="W127" s="59">
        <f t="shared" si="20"/>
        <v>503.06656688343463</v>
      </c>
      <c r="X127" s="59">
        <f t="shared" si="20"/>
        <v>500.95395013232263</v>
      </c>
      <c r="Y127" s="59">
        <f t="shared" si="20"/>
        <v>526.23077246577418</v>
      </c>
      <c r="Z127" s="59">
        <f t="shared" si="20"/>
        <v>537.56478644797323</v>
      </c>
      <c r="AA127" s="59">
        <f t="shared" si="20"/>
        <v>540.47905956105933</v>
      </c>
      <c r="AB127" s="59">
        <f t="shared" si="20"/>
        <v>561.50377790161735</v>
      </c>
      <c r="AC127" s="59">
        <f t="shared" si="20"/>
        <v>576.92369462688077</v>
      </c>
      <c r="AD127" s="59">
        <f t="shared" si="20"/>
        <v>593.02042800180413</v>
      </c>
      <c r="AE127" s="59">
        <f t="shared" si="20"/>
        <v>605.5734477899598</v>
      </c>
      <c r="AF127" s="59">
        <f t="shared" si="20"/>
        <v>589.22091624152586</v>
      </c>
    </row>
    <row r="128" spans="1:34" x14ac:dyDescent="0.25">
      <c r="B128" s="85">
        <f>B126/B127</f>
        <v>0.95508941929905677</v>
      </c>
      <c r="C128" s="85">
        <f t="shared" ref="C128:AF128" si="21">C126/C127</f>
        <v>0.95508941929905677</v>
      </c>
      <c r="D128" s="85">
        <f t="shared" si="21"/>
        <v>0.95730676447409147</v>
      </c>
      <c r="E128" s="85">
        <f t="shared" si="21"/>
        <v>0.96284625859099893</v>
      </c>
      <c r="F128" s="85">
        <f t="shared" si="21"/>
        <v>0.96380134899948522</v>
      </c>
      <c r="G128" s="85">
        <f t="shared" si="21"/>
        <v>0.96695924165677949</v>
      </c>
      <c r="H128" s="85">
        <f t="shared" si="21"/>
        <v>0.96928309596410123</v>
      </c>
      <c r="I128" s="85">
        <f t="shared" si="21"/>
        <v>0.96988992563969501</v>
      </c>
      <c r="J128" s="85">
        <f t="shared" si="21"/>
        <v>0.97268170565565448</v>
      </c>
      <c r="K128" s="85">
        <f t="shared" si="21"/>
        <v>0.97299363571514497</v>
      </c>
      <c r="L128" s="85">
        <f t="shared" si="21"/>
        <v>0.97634461747620793</v>
      </c>
      <c r="M128" s="85">
        <f t="shared" si="21"/>
        <v>0.97541028464658974</v>
      </c>
      <c r="N128" s="85">
        <f t="shared" si="21"/>
        <v>0.97535659251241003</v>
      </c>
      <c r="O128" s="85">
        <f t="shared" si="21"/>
        <v>0.97736494634593751</v>
      </c>
      <c r="P128" s="85">
        <f t="shared" si="21"/>
        <v>0.93528874822235142</v>
      </c>
      <c r="Q128" s="85">
        <f t="shared" si="21"/>
        <v>0.97740110729664709</v>
      </c>
      <c r="R128" s="85">
        <f t="shared" si="21"/>
        <v>0.97700048471051537</v>
      </c>
      <c r="S128" s="85">
        <f t="shared" si="21"/>
        <v>0.97696845578052582</v>
      </c>
      <c r="T128" s="85">
        <f t="shared" si="21"/>
        <v>0.97536624478071554</v>
      </c>
      <c r="U128" s="85">
        <f t="shared" si="21"/>
        <v>0.97501759025975077</v>
      </c>
      <c r="V128" s="85">
        <f t="shared" si="21"/>
        <v>0.97433105931843111</v>
      </c>
      <c r="W128" s="85">
        <f t="shared" si="21"/>
        <v>0.97429066032293921</v>
      </c>
      <c r="X128" s="85">
        <f t="shared" si="21"/>
        <v>0.97636636707857305</v>
      </c>
      <c r="Y128" s="85">
        <f t="shared" si="21"/>
        <v>0.97780211458667121</v>
      </c>
      <c r="Z128" s="85">
        <f t="shared" si="21"/>
        <v>0.97745861184960026</v>
      </c>
      <c r="AA128" s="85">
        <f t="shared" si="21"/>
        <v>0.97934566668789425</v>
      </c>
      <c r="AB128" s="85">
        <f t="shared" si="21"/>
        <v>0.98034414253434343</v>
      </c>
      <c r="AC128" s="85">
        <f t="shared" si="21"/>
        <v>0.98149292822742085</v>
      </c>
      <c r="AD128" s="85">
        <f t="shared" si="21"/>
        <v>0.98215770656050139</v>
      </c>
      <c r="AE128" s="85">
        <f t="shared" si="21"/>
        <v>0.98108136300989479</v>
      </c>
      <c r="AF128" s="85">
        <f t="shared" si="21"/>
        <v>0.98289716225668178</v>
      </c>
    </row>
  </sheetData>
  <sheetProtection algorithmName="SHA-512" hashValue="uuphMfQtXWGDeHUwQ/RBWRNMZPgdW0KNIrG9m8RUtNsyCJNJZbnpuUqC5QkznD+tjIjVsRnTU7ZwFOgLGy+EaA==" saltValue="bN8NXuJnwIygq175y+670A==" spinCount="100000" sheet="1" objects="1" scenarios="1"/>
  <mergeCells count="2">
    <mergeCell ref="A5:A6"/>
    <mergeCell ref="B6:AF6"/>
  </mergeCells>
  <dataValidations count="1">
    <dataValidation allowBlank="1" showInputMessage="1" showErrorMessage="1" sqref="AH71:AH1048576 AI69:JX1048576 AJ5:JY68 AI1:JX4 A127:AF127 A71:A125 AG71:AG127 A128:AG65535 B71:AF126" xr:uid="{00000000-0002-0000-1C00-000000000000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</sheetPr>
  <dimension ref="A1:AH111"/>
  <sheetViews>
    <sheetView topLeftCell="B76" workbookViewId="0">
      <selection activeCell="G91" sqref="G91"/>
    </sheetView>
  </sheetViews>
  <sheetFormatPr defaultColWidth="8" defaultRowHeight="11.5" x14ac:dyDescent="0.25"/>
  <cols>
    <col min="1" max="1" width="59.81640625" style="7" customWidth="1"/>
    <col min="2" max="33" width="15.7265625" style="7" customWidth="1"/>
    <col min="34" max="34" width="14.81640625" style="7" customWidth="1"/>
    <col min="35" max="35" width="8.7265625" style="7" customWidth="1"/>
    <col min="36" max="36" width="9.26953125" style="7" customWidth="1"/>
    <col min="37" max="37" width="8.453125" style="7" customWidth="1"/>
    <col min="38" max="39" width="9.1796875" style="7" customWidth="1"/>
    <col min="40" max="40" width="9.26953125" style="7" customWidth="1"/>
    <col min="41" max="41" width="8.7265625" style="7" customWidth="1"/>
    <col min="42" max="42" width="9.54296875" style="7" customWidth="1"/>
    <col min="43" max="43" width="9.26953125" style="7" customWidth="1"/>
    <col min="44" max="44" width="8.7265625" style="7" customWidth="1"/>
    <col min="45" max="45" width="9.54296875" style="7" customWidth="1"/>
    <col min="46" max="47" width="9.26953125" style="7" customWidth="1"/>
    <col min="48" max="50" width="9.1796875" style="7" customWidth="1"/>
    <col min="51" max="51" width="8.7265625" style="7" customWidth="1"/>
    <col min="52" max="52" width="8.453125" style="7" customWidth="1"/>
    <col min="53" max="53" width="9.1796875" style="7" customWidth="1"/>
    <col min="54" max="54" width="8.7265625" style="7" customWidth="1"/>
    <col min="55" max="55" width="8.54296875" style="7" customWidth="1"/>
    <col min="56" max="16384" width="8" style="7"/>
  </cols>
  <sheetData>
    <row r="1" spans="1:34" ht="17.25" customHeight="1" x14ac:dyDescent="0.25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 t="s">
        <v>12</v>
      </c>
    </row>
    <row r="2" spans="1:34" ht="15.75" customHeight="1" x14ac:dyDescent="0.25">
      <c r="A2" s="4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 t="s">
        <v>14</v>
      </c>
    </row>
    <row r="3" spans="1:34" ht="15.75" customHeight="1" x14ac:dyDescent="0.25">
      <c r="A3" s="4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 t="s">
        <v>16</v>
      </c>
    </row>
    <row r="4" spans="1:34" ht="12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4" ht="60" customHeight="1" x14ac:dyDescent="0.25">
      <c r="A5" s="218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10" t="s">
        <v>49</v>
      </c>
      <c r="AH5" s="31"/>
    </row>
    <row r="6" spans="1:34" ht="12.75" customHeight="1" thickBot="1" x14ac:dyDescent="0.3">
      <c r="A6" s="219"/>
      <c r="B6" s="213" t="s">
        <v>126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38"/>
      <c r="AB6" s="38"/>
      <c r="AC6" s="38"/>
      <c r="AD6" s="38"/>
      <c r="AE6" s="38"/>
      <c r="AF6" s="38"/>
      <c r="AG6" s="12" t="s">
        <v>51</v>
      </c>
      <c r="AH6" s="31"/>
    </row>
    <row r="7" spans="1:34" ht="12" customHeight="1" thickTop="1" x14ac:dyDescent="0.25">
      <c r="A7" s="34" t="s">
        <v>53</v>
      </c>
      <c r="B7" s="14">
        <v>0.86470336585097995</v>
      </c>
      <c r="C7" s="14">
        <v>0.86470336585097995</v>
      </c>
      <c r="D7" s="14">
        <v>0.88281312002324996</v>
      </c>
      <c r="E7" s="14">
        <v>0.91620439094596995</v>
      </c>
      <c r="F7" s="14">
        <v>0.96664665700881003</v>
      </c>
      <c r="G7" s="14">
        <v>1.1047819440833799</v>
      </c>
      <c r="H7" s="14">
        <v>1.2841198846891799</v>
      </c>
      <c r="I7" s="14">
        <v>1.5238830892337301</v>
      </c>
      <c r="J7" s="14">
        <v>1.7299323385581999</v>
      </c>
      <c r="K7" s="14">
        <v>1.98740907858868</v>
      </c>
      <c r="L7" s="14">
        <v>1.2635451258568</v>
      </c>
      <c r="M7" s="14">
        <v>1.33962079830161</v>
      </c>
      <c r="N7" s="14">
        <v>1.3924750083325099</v>
      </c>
      <c r="O7" s="14">
        <v>1.4107569429564399</v>
      </c>
      <c r="P7" s="14">
        <v>1.4296533391017201</v>
      </c>
      <c r="Q7" s="14">
        <v>1.3721221070807801</v>
      </c>
      <c r="R7" s="14">
        <v>1.4205376362514499</v>
      </c>
      <c r="S7" s="14">
        <v>1.4144053413468201</v>
      </c>
      <c r="T7" s="14">
        <v>1.3857548736555301</v>
      </c>
      <c r="U7" s="14">
        <v>1.3681983067956101</v>
      </c>
      <c r="V7" s="14">
        <v>1.25843453344808</v>
      </c>
      <c r="W7" s="14">
        <v>1.24000836303174</v>
      </c>
      <c r="X7" s="14">
        <v>1.1681528188739201</v>
      </c>
      <c r="Y7" s="14">
        <v>1.15409897884452</v>
      </c>
      <c r="Z7" s="14">
        <v>1.10964033415482</v>
      </c>
      <c r="AA7" s="14">
        <v>1.10382051107187</v>
      </c>
      <c r="AB7" s="14">
        <v>1.12024238084915</v>
      </c>
      <c r="AC7" s="14">
        <v>1.21471198942167</v>
      </c>
      <c r="AD7" s="14">
        <v>1.2252050820326399</v>
      </c>
      <c r="AE7" s="14">
        <v>1.26566665875922</v>
      </c>
      <c r="AF7" s="14">
        <v>1.25242776924786</v>
      </c>
      <c r="AG7" s="14">
        <v>44.839007075601003</v>
      </c>
      <c r="AH7" s="31"/>
    </row>
    <row r="8" spans="1:34" ht="12" customHeight="1" x14ac:dyDescent="0.25">
      <c r="A8" s="16" t="s">
        <v>54</v>
      </c>
      <c r="B8" s="14">
        <v>0.86470336585097995</v>
      </c>
      <c r="C8" s="14">
        <v>0.86470336585097995</v>
      </c>
      <c r="D8" s="14">
        <v>0.88281312002324996</v>
      </c>
      <c r="E8" s="14">
        <v>0.91620439094596995</v>
      </c>
      <c r="F8" s="14">
        <v>0.96664665700881003</v>
      </c>
      <c r="G8" s="14">
        <v>1.1047819440833799</v>
      </c>
      <c r="H8" s="14">
        <v>1.2841198846891799</v>
      </c>
      <c r="I8" s="14">
        <v>1.5238830892337301</v>
      </c>
      <c r="J8" s="14">
        <v>1.7299323385581999</v>
      </c>
      <c r="K8" s="14">
        <v>1.98740907858868</v>
      </c>
      <c r="L8" s="14">
        <v>1.2634774910002</v>
      </c>
      <c r="M8" s="14">
        <v>1.33962079830161</v>
      </c>
      <c r="N8" s="14">
        <v>1.3923770005360301</v>
      </c>
      <c r="O8" s="14">
        <v>1.4107569429564399</v>
      </c>
      <c r="P8" s="14">
        <v>1.4296533391017201</v>
      </c>
      <c r="Q8" s="14">
        <v>1.3721221070807801</v>
      </c>
      <c r="R8" s="14">
        <v>1.4205376362514499</v>
      </c>
      <c r="S8" s="14">
        <v>1.4144053413468201</v>
      </c>
      <c r="T8" s="14">
        <v>1.3857548736555301</v>
      </c>
      <c r="U8" s="14">
        <v>1.3681983067956101</v>
      </c>
      <c r="V8" s="14">
        <v>1.25843453344808</v>
      </c>
      <c r="W8" s="14">
        <v>1.24000836303174</v>
      </c>
      <c r="X8" s="14">
        <v>1.1681528188739201</v>
      </c>
      <c r="Y8" s="14">
        <v>1.15409897884452</v>
      </c>
      <c r="Z8" s="14">
        <v>1.10964033415482</v>
      </c>
      <c r="AA8" s="14">
        <v>1.10382051107187</v>
      </c>
      <c r="AB8" s="14">
        <v>1.1202417459121901</v>
      </c>
      <c r="AC8" s="14">
        <v>1.2147095704784701</v>
      </c>
      <c r="AD8" s="14">
        <v>1.2251965794306301</v>
      </c>
      <c r="AE8" s="14">
        <v>1.26566633439006</v>
      </c>
      <c r="AF8" s="14">
        <v>1.25242732757887</v>
      </c>
      <c r="AG8" s="14">
        <v>44.838955998086</v>
      </c>
      <c r="AH8" s="31"/>
    </row>
    <row r="9" spans="1:34" ht="12" customHeight="1" x14ac:dyDescent="0.25">
      <c r="A9" s="17" t="s">
        <v>55</v>
      </c>
      <c r="B9" s="18">
        <v>0.23991894803354999</v>
      </c>
      <c r="C9" s="18">
        <v>0.23991894803354999</v>
      </c>
      <c r="D9" s="18">
        <v>0.24549277585977</v>
      </c>
      <c r="E9" s="18">
        <v>0.25254790073313998</v>
      </c>
      <c r="F9" s="18">
        <v>0.24160392006230999</v>
      </c>
      <c r="G9" s="18">
        <v>0.24630056698922001</v>
      </c>
      <c r="H9" s="18">
        <v>0.24958657512367</v>
      </c>
      <c r="I9" s="18">
        <v>0.26117908234567</v>
      </c>
      <c r="J9" s="18">
        <v>0.26074201220181997</v>
      </c>
      <c r="K9" s="18">
        <v>0.25227405774516998</v>
      </c>
      <c r="L9" s="18">
        <v>0.25837186305547</v>
      </c>
      <c r="M9" s="18">
        <v>0.25827788007767</v>
      </c>
      <c r="N9" s="18">
        <v>0.28103737327456002</v>
      </c>
      <c r="O9" s="18">
        <v>0.31653022601344999</v>
      </c>
      <c r="P9" s="18">
        <v>0.35072869459042</v>
      </c>
      <c r="Q9" s="18">
        <v>0.30715575588180999</v>
      </c>
      <c r="R9" s="18">
        <v>0.33648465958605001</v>
      </c>
      <c r="S9" s="18">
        <v>0.36486588147783999</v>
      </c>
      <c r="T9" s="18">
        <v>0.38626804251234997</v>
      </c>
      <c r="U9" s="18">
        <v>0.48350605308735001</v>
      </c>
      <c r="V9" s="18">
        <v>0.46462983890206</v>
      </c>
      <c r="W9" s="18">
        <v>0.48322548802469001</v>
      </c>
      <c r="X9" s="18">
        <v>0.44111790781742</v>
      </c>
      <c r="Y9" s="18">
        <v>0.45047199538569999</v>
      </c>
      <c r="Z9" s="18">
        <v>0.41712600302676001</v>
      </c>
      <c r="AA9" s="18">
        <v>0.41694605580236999</v>
      </c>
      <c r="AB9" s="18">
        <v>0.40982475965692999</v>
      </c>
      <c r="AC9" s="19">
        <v>0.46812169728418002</v>
      </c>
      <c r="AD9" s="19">
        <v>0.47106397901848002</v>
      </c>
      <c r="AE9" s="19">
        <v>0.4761696661084</v>
      </c>
      <c r="AF9" s="19">
        <v>0.46713073714796</v>
      </c>
      <c r="AG9" s="18">
        <v>94.703561755630005</v>
      </c>
      <c r="AH9" s="31"/>
    </row>
    <row r="10" spans="1:34" ht="12.75" customHeight="1" x14ac:dyDescent="0.25">
      <c r="A10" s="17" t="s">
        <v>56</v>
      </c>
      <c r="B10" s="18">
        <v>4.2891935054020003E-2</v>
      </c>
      <c r="C10" s="18">
        <v>4.2891935054020003E-2</v>
      </c>
      <c r="D10" s="18">
        <v>4.3182778308729998E-2</v>
      </c>
      <c r="E10" s="18">
        <v>3.7113715661530003E-2</v>
      </c>
      <c r="F10" s="18">
        <v>3.894948539438E-2</v>
      </c>
      <c r="G10" s="18">
        <v>3.899646092148E-2</v>
      </c>
      <c r="H10" s="18">
        <v>3.9638413235280001E-2</v>
      </c>
      <c r="I10" s="18">
        <v>4.170210535656E-2</v>
      </c>
      <c r="J10" s="18">
        <v>4.290205314975E-2</v>
      </c>
      <c r="K10" s="18">
        <v>4.5123636259769999E-2</v>
      </c>
      <c r="L10" s="18">
        <v>4.5822948613949997E-2</v>
      </c>
      <c r="M10" s="18">
        <v>5.3268049187919997E-2</v>
      </c>
      <c r="N10" s="18">
        <v>5.5298467061250002E-2</v>
      </c>
      <c r="O10" s="18">
        <v>5.278686408997E-2</v>
      </c>
      <c r="P10" s="18">
        <v>5.4500335914649999E-2</v>
      </c>
      <c r="Q10" s="18">
        <v>5.8812555557399997E-2</v>
      </c>
      <c r="R10" s="18">
        <v>6.6565292653419997E-2</v>
      </c>
      <c r="S10" s="18">
        <v>6.2320843896280002E-2</v>
      </c>
      <c r="T10" s="18">
        <v>6.031455201969E-2</v>
      </c>
      <c r="U10" s="18">
        <v>5.5854303469409998E-2</v>
      </c>
      <c r="V10" s="18">
        <v>4.6312005215040003E-2</v>
      </c>
      <c r="W10" s="18">
        <v>4.831158645513E-2</v>
      </c>
      <c r="X10" s="18">
        <v>4.1155948550930001E-2</v>
      </c>
      <c r="Y10" s="18">
        <v>3.7781296956630003E-2</v>
      </c>
      <c r="Z10" s="18">
        <v>3.8935484354619999E-2</v>
      </c>
      <c r="AA10" s="18">
        <v>4.488287642502E-2</v>
      </c>
      <c r="AB10" s="18">
        <v>4.4747307078600002E-2</v>
      </c>
      <c r="AC10" s="19">
        <v>4.3543906368479997E-2</v>
      </c>
      <c r="AD10" s="19">
        <v>4.6410778213900002E-2</v>
      </c>
      <c r="AE10" s="19">
        <v>4.8113295219960002E-2</v>
      </c>
      <c r="AF10" s="19">
        <v>4.5008157957190001E-2</v>
      </c>
      <c r="AG10" s="18">
        <v>4.9338480544300003</v>
      </c>
      <c r="AH10" s="31"/>
    </row>
    <row r="11" spans="1:34" ht="12" customHeight="1" x14ac:dyDescent="0.25">
      <c r="A11" s="17" t="s">
        <v>57</v>
      </c>
      <c r="B11" s="18">
        <v>0.23278338650861999</v>
      </c>
      <c r="C11" s="18">
        <v>0.23278338650861999</v>
      </c>
      <c r="D11" s="18">
        <v>0.23724112494102001</v>
      </c>
      <c r="E11" s="18">
        <v>0.28126974888167999</v>
      </c>
      <c r="F11" s="18">
        <v>0.34102811095842001</v>
      </c>
      <c r="G11" s="18">
        <v>0.44532073110628001</v>
      </c>
      <c r="H11" s="18">
        <v>0.58367268047017995</v>
      </c>
      <c r="I11" s="18">
        <v>0.87170549258517005</v>
      </c>
      <c r="J11" s="18">
        <v>1.0743089212368999</v>
      </c>
      <c r="K11" s="18">
        <v>1.33574095548858</v>
      </c>
      <c r="L11" s="18">
        <v>0.59909863360005</v>
      </c>
      <c r="M11" s="18">
        <v>0.65826107282232005</v>
      </c>
      <c r="N11" s="18">
        <v>0.68206317905630998</v>
      </c>
      <c r="O11" s="18">
        <v>0.66716242561313999</v>
      </c>
      <c r="P11" s="18">
        <v>0.64668170723841001</v>
      </c>
      <c r="Q11" s="18">
        <v>0.64080820084950996</v>
      </c>
      <c r="R11" s="18">
        <v>0.62770568895496004</v>
      </c>
      <c r="S11" s="18">
        <v>0.61251309278006005</v>
      </c>
      <c r="T11" s="18">
        <v>0.57946660473705003</v>
      </c>
      <c r="U11" s="18">
        <v>0.44001303494283001</v>
      </c>
      <c r="V11" s="18">
        <v>0.40496120802923002</v>
      </c>
      <c r="W11" s="18">
        <v>0.38055266383892</v>
      </c>
      <c r="X11" s="18">
        <v>0.37778527970449999</v>
      </c>
      <c r="Y11" s="18">
        <v>0.37116559142224997</v>
      </c>
      <c r="Z11" s="18">
        <v>0.38604096288176998</v>
      </c>
      <c r="AA11" s="18">
        <v>0.40167611680295001</v>
      </c>
      <c r="AB11" s="18">
        <v>0.43004067436285998</v>
      </c>
      <c r="AC11" s="19">
        <v>0.45885627791092998</v>
      </c>
      <c r="AD11" s="19">
        <v>0.45929422616556997</v>
      </c>
      <c r="AE11" s="19">
        <v>0.47579899330349001</v>
      </c>
      <c r="AF11" s="19">
        <v>0.48268738590784999</v>
      </c>
      <c r="AG11" s="18">
        <v>107.354740021353</v>
      </c>
      <c r="AH11" s="31"/>
    </row>
    <row r="12" spans="1:34" ht="12" customHeight="1" x14ac:dyDescent="0.25">
      <c r="A12" s="17" t="s">
        <v>58</v>
      </c>
      <c r="B12" s="18">
        <v>0.34910909625478997</v>
      </c>
      <c r="C12" s="18">
        <v>0.34910909625478997</v>
      </c>
      <c r="D12" s="18">
        <v>0.35689644091373002</v>
      </c>
      <c r="E12" s="18">
        <v>0.34527302566961998</v>
      </c>
      <c r="F12" s="18">
        <v>0.34506514059370003</v>
      </c>
      <c r="G12" s="18">
        <v>0.37416418506639998</v>
      </c>
      <c r="H12" s="18">
        <v>0.41122221586004998</v>
      </c>
      <c r="I12" s="18">
        <v>0.34929640894633002</v>
      </c>
      <c r="J12" s="18">
        <v>0.35197935196973001</v>
      </c>
      <c r="K12" s="18">
        <v>0.35427042909515999</v>
      </c>
      <c r="L12" s="18">
        <v>0.36018404573072998</v>
      </c>
      <c r="M12" s="18">
        <v>0.36981379621369997</v>
      </c>
      <c r="N12" s="18">
        <v>0.37397798114391001</v>
      </c>
      <c r="O12" s="18">
        <v>0.37427742723988</v>
      </c>
      <c r="P12" s="18">
        <v>0.37774260135824</v>
      </c>
      <c r="Q12" s="18">
        <v>0.36534559479206002</v>
      </c>
      <c r="R12" s="18">
        <v>0.38978199505701999</v>
      </c>
      <c r="S12" s="18">
        <v>0.37470552319264</v>
      </c>
      <c r="T12" s="18">
        <v>0.35970567438644002</v>
      </c>
      <c r="U12" s="18">
        <v>0.38882491529601998</v>
      </c>
      <c r="V12" s="18">
        <v>0.34253148130174998</v>
      </c>
      <c r="W12" s="18">
        <v>0.32791862471299998</v>
      </c>
      <c r="X12" s="18">
        <v>0.30809368280107002</v>
      </c>
      <c r="Y12" s="18">
        <v>0.29468009507993997</v>
      </c>
      <c r="Z12" s="18">
        <v>0.26753788389166999</v>
      </c>
      <c r="AA12" s="18">
        <v>0.24031546204153001</v>
      </c>
      <c r="AB12" s="18">
        <v>0.2356290048138</v>
      </c>
      <c r="AC12" s="19">
        <v>0.24418768891487999</v>
      </c>
      <c r="AD12" s="19">
        <v>0.24842759603268</v>
      </c>
      <c r="AE12" s="19">
        <v>0.26558437975820998</v>
      </c>
      <c r="AF12" s="19">
        <v>0.25760104656587002</v>
      </c>
      <c r="AG12" s="18">
        <v>-26.211877797115999</v>
      </c>
      <c r="AH12" s="31"/>
    </row>
    <row r="13" spans="1:34" ht="12" customHeight="1" x14ac:dyDescent="0.25">
      <c r="A13" s="17" t="s">
        <v>59</v>
      </c>
      <c r="B13" s="18" t="s">
        <v>60</v>
      </c>
      <c r="C13" s="18" t="s">
        <v>60</v>
      </c>
      <c r="D13" s="18" t="s">
        <v>60</v>
      </c>
      <c r="E13" s="18" t="s">
        <v>60</v>
      </c>
      <c r="F13" s="18" t="s">
        <v>60</v>
      </c>
      <c r="G13" s="18" t="s">
        <v>60</v>
      </c>
      <c r="H13" s="18" t="s">
        <v>60</v>
      </c>
      <c r="I13" s="18" t="s">
        <v>60</v>
      </c>
      <c r="J13" s="18" t="s">
        <v>60</v>
      </c>
      <c r="K13" s="18" t="s">
        <v>60</v>
      </c>
      <c r="L13" s="18" t="s">
        <v>60</v>
      </c>
      <c r="M13" s="18" t="s">
        <v>60</v>
      </c>
      <c r="N13" s="18" t="s">
        <v>60</v>
      </c>
      <c r="O13" s="18" t="s">
        <v>60</v>
      </c>
      <c r="P13" s="18" t="s">
        <v>60</v>
      </c>
      <c r="Q13" s="18" t="s">
        <v>60</v>
      </c>
      <c r="R13" s="18" t="s">
        <v>60</v>
      </c>
      <c r="S13" s="18" t="s">
        <v>60</v>
      </c>
      <c r="T13" s="18" t="s">
        <v>60</v>
      </c>
      <c r="U13" s="18" t="s">
        <v>60</v>
      </c>
      <c r="V13" s="18" t="s">
        <v>60</v>
      </c>
      <c r="W13" s="18" t="s">
        <v>60</v>
      </c>
      <c r="X13" s="18" t="s">
        <v>60</v>
      </c>
      <c r="Y13" s="18" t="s">
        <v>60</v>
      </c>
      <c r="Z13" s="18" t="s">
        <v>60</v>
      </c>
      <c r="AA13" s="18" t="s">
        <v>60</v>
      </c>
      <c r="AB13" s="18" t="s">
        <v>60</v>
      </c>
      <c r="AC13" s="19" t="s">
        <v>60</v>
      </c>
      <c r="AD13" s="19" t="s">
        <v>60</v>
      </c>
      <c r="AE13" s="19" t="s">
        <v>60</v>
      </c>
      <c r="AF13" s="19" t="s">
        <v>60</v>
      </c>
      <c r="AG13" s="18">
        <v>0</v>
      </c>
      <c r="AH13" s="31"/>
    </row>
    <row r="14" spans="1:34" ht="12" customHeight="1" x14ac:dyDescent="0.25">
      <c r="A14" s="16" t="s">
        <v>61</v>
      </c>
      <c r="B14" s="14" t="s">
        <v>65</v>
      </c>
      <c r="C14" s="14" t="s">
        <v>65</v>
      </c>
      <c r="D14" s="14" t="s">
        <v>65</v>
      </c>
      <c r="E14" s="14" t="s">
        <v>65</v>
      </c>
      <c r="F14" s="14" t="s">
        <v>65</v>
      </c>
      <c r="G14" s="14" t="s">
        <v>65</v>
      </c>
      <c r="H14" s="14" t="s">
        <v>65</v>
      </c>
      <c r="I14" s="14" t="s">
        <v>65</v>
      </c>
      <c r="J14" s="14" t="s">
        <v>65</v>
      </c>
      <c r="K14" s="14" t="s">
        <v>65</v>
      </c>
      <c r="L14" s="14">
        <v>6.7634856599999994E-5</v>
      </c>
      <c r="M14" s="14" t="s">
        <v>65</v>
      </c>
      <c r="N14" s="14">
        <v>9.8007796479999994E-5</v>
      </c>
      <c r="O14" s="14" t="s">
        <v>65</v>
      </c>
      <c r="P14" s="14" t="s">
        <v>65</v>
      </c>
      <c r="Q14" s="14" t="s">
        <v>65</v>
      </c>
      <c r="R14" s="14" t="s">
        <v>65</v>
      </c>
      <c r="S14" s="14" t="s">
        <v>65</v>
      </c>
      <c r="T14" s="14" t="s">
        <v>65</v>
      </c>
      <c r="U14" s="14" t="s">
        <v>65</v>
      </c>
      <c r="V14" s="14" t="s">
        <v>65</v>
      </c>
      <c r="W14" s="14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v>6.3493695999999998E-7</v>
      </c>
      <c r="AC14" s="14">
        <v>2.4189431999999998E-6</v>
      </c>
      <c r="AD14" s="14">
        <v>8.5026020099999992E-6</v>
      </c>
      <c r="AE14" s="14">
        <v>3.2436916000000001E-7</v>
      </c>
      <c r="AF14" s="14">
        <v>4.4166899E-7</v>
      </c>
      <c r="AG14" s="14">
        <v>100</v>
      </c>
      <c r="AH14" s="31"/>
    </row>
    <row r="15" spans="1:34" ht="12" customHeight="1" x14ac:dyDescent="0.25">
      <c r="A15" s="17" t="s">
        <v>62</v>
      </c>
      <c r="B15" s="18" t="s">
        <v>65</v>
      </c>
      <c r="C15" s="18" t="s">
        <v>65</v>
      </c>
      <c r="D15" s="18" t="s">
        <v>65</v>
      </c>
      <c r="E15" s="18" t="s">
        <v>65</v>
      </c>
      <c r="F15" s="18" t="s">
        <v>65</v>
      </c>
      <c r="G15" s="18" t="s">
        <v>65</v>
      </c>
      <c r="H15" s="18" t="s">
        <v>65</v>
      </c>
      <c r="I15" s="18" t="s">
        <v>65</v>
      </c>
      <c r="J15" s="18" t="s">
        <v>65</v>
      </c>
      <c r="K15" s="18" t="s">
        <v>65</v>
      </c>
      <c r="L15" s="18" t="s">
        <v>65</v>
      </c>
      <c r="M15" s="18" t="s">
        <v>65</v>
      </c>
      <c r="N15" s="18" t="s">
        <v>65</v>
      </c>
      <c r="O15" s="18" t="s">
        <v>65</v>
      </c>
      <c r="P15" s="18" t="s">
        <v>65</v>
      </c>
      <c r="Q15" s="18" t="s">
        <v>65</v>
      </c>
      <c r="R15" s="18" t="s">
        <v>65</v>
      </c>
      <c r="S15" s="18" t="s">
        <v>65</v>
      </c>
      <c r="T15" s="18" t="s">
        <v>65</v>
      </c>
      <c r="U15" s="18" t="s">
        <v>65</v>
      </c>
      <c r="V15" s="18" t="s">
        <v>65</v>
      </c>
      <c r="W15" s="18" t="s">
        <v>65</v>
      </c>
      <c r="X15" s="18" t="s">
        <v>65</v>
      </c>
      <c r="Y15" s="18" t="s">
        <v>65</v>
      </c>
      <c r="Z15" s="18" t="s">
        <v>65</v>
      </c>
      <c r="AA15" s="18" t="s">
        <v>65</v>
      </c>
      <c r="AB15" s="18" t="s">
        <v>65</v>
      </c>
      <c r="AC15" s="19" t="s">
        <v>65</v>
      </c>
      <c r="AD15" s="19" t="s">
        <v>65</v>
      </c>
      <c r="AE15" s="19" t="s">
        <v>65</v>
      </c>
      <c r="AF15" s="19" t="s">
        <v>65</v>
      </c>
      <c r="AG15" s="18">
        <v>0</v>
      </c>
      <c r="AH15" s="31"/>
    </row>
    <row r="16" spans="1:34" ht="12.75" customHeight="1" x14ac:dyDescent="0.25">
      <c r="A16" s="17" t="s">
        <v>63</v>
      </c>
      <c r="B16" s="18" t="s">
        <v>65</v>
      </c>
      <c r="C16" s="18" t="s">
        <v>65</v>
      </c>
      <c r="D16" s="18" t="s">
        <v>65</v>
      </c>
      <c r="E16" s="18" t="s">
        <v>65</v>
      </c>
      <c r="F16" s="18" t="s">
        <v>65</v>
      </c>
      <c r="G16" s="18" t="s">
        <v>65</v>
      </c>
      <c r="H16" s="18" t="s">
        <v>65</v>
      </c>
      <c r="I16" s="18" t="s">
        <v>65</v>
      </c>
      <c r="J16" s="18" t="s">
        <v>65</v>
      </c>
      <c r="K16" s="18" t="s">
        <v>65</v>
      </c>
      <c r="L16" s="18">
        <v>6.7634856599999994E-5</v>
      </c>
      <c r="M16" s="18" t="s">
        <v>65</v>
      </c>
      <c r="N16" s="18">
        <v>9.8007796479999994E-5</v>
      </c>
      <c r="O16" s="18" t="s">
        <v>65</v>
      </c>
      <c r="P16" s="18" t="s">
        <v>65</v>
      </c>
      <c r="Q16" s="18" t="s">
        <v>65</v>
      </c>
      <c r="R16" s="18" t="s">
        <v>65</v>
      </c>
      <c r="S16" s="18" t="s">
        <v>65</v>
      </c>
      <c r="T16" s="18" t="s">
        <v>65</v>
      </c>
      <c r="U16" s="18" t="s">
        <v>65</v>
      </c>
      <c r="V16" s="18" t="s">
        <v>65</v>
      </c>
      <c r="W16" s="18" t="s">
        <v>65</v>
      </c>
      <c r="X16" s="18" t="s">
        <v>65</v>
      </c>
      <c r="Y16" s="18" t="s">
        <v>65</v>
      </c>
      <c r="Z16" s="18" t="s">
        <v>65</v>
      </c>
      <c r="AA16" s="18" t="s">
        <v>65</v>
      </c>
      <c r="AB16" s="18">
        <v>6.3493695999999998E-7</v>
      </c>
      <c r="AC16" s="19">
        <v>2.4189431999999998E-6</v>
      </c>
      <c r="AD16" s="19">
        <v>8.5026020099999992E-6</v>
      </c>
      <c r="AE16" s="19">
        <v>3.2436916000000001E-7</v>
      </c>
      <c r="AF16" s="19">
        <v>4.4166899E-7</v>
      </c>
      <c r="AG16" s="18">
        <v>100</v>
      </c>
      <c r="AH16" s="31"/>
    </row>
    <row r="17" spans="1:34" ht="12" customHeight="1" x14ac:dyDescent="0.25">
      <c r="A17" s="20" t="s">
        <v>64</v>
      </c>
      <c r="B17" s="25" t="s">
        <v>69</v>
      </c>
      <c r="C17" s="25" t="s">
        <v>69</v>
      </c>
      <c r="D17" s="25" t="s">
        <v>69</v>
      </c>
      <c r="E17" s="25" t="s">
        <v>69</v>
      </c>
      <c r="F17" s="25" t="s">
        <v>69</v>
      </c>
      <c r="G17" s="25" t="s">
        <v>69</v>
      </c>
      <c r="H17" s="25" t="s">
        <v>69</v>
      </c>
      <c r="I17" s="25" t="s">
        <v>69</v>
      </c>
      <c r="J17" s="25" t="s">
        <v>69</v>
      </c>
      <c r="K17" s="25" t="s">
        <v>69</v>
      </c>
      <c r="L17" s="25" t="s">
        <v>69</v>
      </c>
      <c r="M17" s="25" t="s">
        <v>69</v>
      </c>
      <c r="N17" s="25" t="s">
        <v>69</v>
      </c>
      <c r="O17" s="25" t="s">
        <v>69</v>
      </c>
      <c r="P17" s="25" t="s">
        <v>69</v>
      </c>
      <c r="Q17" s="25" t="s">
        <v>69</v>
      </c>
      <c r="R17" s="25" t="s">
        <v>69</v>
      </c>
      <c r="S17" s="25" t="s">
        <v>69</v>
      </c>
      <c r="T17" s="25" t="s">
        <v>69</v>
      </c>
      <c r="U17" s="25" t="s">
        <v>69</v>
      </c>
      <c r="V17" s="25" t="s">
        <v>69</v>
      </c>
      <c r="W17" s="25" t="s">
        <v>69</v>
      </c>
      <c r="X17" s="25" t="s">
        <v>69</v>
      </c>
      <c r="Y17" s="25" t="s">
        <v>69</v>
      </c>
      <c r="Z17" s="25" t="s">
        <v>69</v>
      </c>
      <c r="AA17" s="25" t="s">
        <v>69</v>
      </c>
      <c r="AB17" s="25" t="s">
        <v>69</v>
      </c>
      <c r="AC17" s="25" t="s">
        <v>69</v>
      </c>
      <c r="AD17" s="25" t="s">
        <v>69</v>
      </c>
      <c r="AE17" s="25" t="s">
        <v>69</v>
      </c>
      <c r="AF17" s="25" t="s">
        <v>69</v>
      </c>
      <c r="AG17" s="25" t="s">
        <v>69</v>
      </c>
      <c r="AH17" s="31"/>
    </row>
    <row r="18" spans="1:34" ht="12" customHeight="1" x14ac:dyDescent="0.25">
      <c r="A18" s="15" t="s">
        <v>127</v>
      </c>
      <c r="B18" s="14">
        <v>3.4451740000000002</v>
      </c>
      <c r="C18" s="14">
        <v>3.4451740000000002</v>
      </c>
      <c r="D18" s="14">
        <v>2.7265709999999999</v>
      </c>
      <c r="E18" s="14">
        <v>2.7274349999999998</v>
      </c>
      <c r="F18" s="14">
        <v>2.7280229999999999</v>
      </c>
      <c r="G18" s="14">
        <v>2.7283770000000001</v>
      </c>
      <c r="H18" s="14">
        <v>2.7288389999999998</v>
      </c>
      <c r="I18" s="14">
        <v>2.7295829999999999</v>
      </c>
      <c r="J18" s="14">
        <v>2.7307290000000002</v>
      </c>
      <c r="K18" s="14">
        <v>2.7318929999999999</v>
      </c>
      <c r="L18" s="14">
        <v>2.7330480000000001</v>
      </c>
      <c r="M18" s="14">
        <v>2.7344849999999998</v>
      </c>
      <c r="N18" s="14">
        <v>2.000416</v>
      </c>
      <c r="O18" s="14">
        <v>1.0600160000000001</v>
      </c>
      <c r="P18" s="14">
        <v>0.119397</v>
      </c>
      <c r="Q18" s="14">
        <v>0.12135600000000001</v>
      </c>
      <c r="R18" s="14">
        <v>0.124014</v>
      </c>
      <c r="S18" s="14">
        <v>0.12698699999999999</v>
      </c>
      <c r="T18" s="14">
        <v>0.131274</v>
      </c>
      <c r="U18" s="14">
        <v>0.13455300000000001</v>
      </c>
      <c r="V18" s="14">
        <v>0.13600200000000001</v>
      </c>
      <c r="W18" s="14">
        <v>0.13664399999999999</v>
      </c>
      <c r="X18" s="14">
        <v>0.13724700000000001</v>
      </c>
      <c r="Y18" s="14">
        <v>0.13756199999999999</v>
      </c>
      <c r="Z18" s="14">
        <v>0.137793</v>
      </c>
      <c r="AA18" s="14">
        <v>0.13828799999999999</v>
      </c>
      <c r="AB18" s="14">
        <v>0.13906199999999999</v>
      </c>
      <c r="AC18" s="14">
        <v>0.14285595000000001</v>
      </c>
      <c r="AD18" s="14">
        <v>0.14353716</v>
      </c>
      <c r="AE18" s="14">
        <v>0.14421837000000001</v>
      </c>
      <c r="AF18" s="14">
        <v>0.147645</v>
      </c>
      <c r="AG18" s="14">
        <v>-95.714439967328005</v>
      </c>
      <c r="AH18" s="31"/>
    </row>
    <row r="19" spans="1:34" ht="12" customHeight="1" x14ac:dyDescent="0.25">
      <c r="A19" s="20" t="s">
        <v>67</v>
      </c>
      <c r="B19" s="25" t="s">
        <v>69</v>
      </c>
      <c r="C19" s="25" t="s">
        <v>69</v>
      </c>
      <c r="D19" s="25" t="s">
        <v>69</v>
      </c>
      <c r="E19" s="25" t="s">
        <v>69</v>
      </c>
      <c r="F19" s="25" t="s">
        <v>69</v>
      </c>
      <c r="G19" s="25" t="s">
        <v>69</v>
      </c>
      <c r="H19" s="25" t="s">
        <v>69</v>
      </c>
      <c r="I19" s="25" t="s">
        <v>69</v>
      </c>
      <c r="J19" s="25" t="s">
        <v>69</v>
      </c>
      <c r="K19" s="25" t="s">
        <v>69</v>
      </c>
      <c r="L19" s="25" t="s">
        <v>69</v>
      </c>
      <c r="M19" s="25" t="s">
        <v>69</v>
      </c>
      <c r="N19" s="25" t="s">
        <v>69</v>
      </c>
      <c r="O19" s="25" t="s">
        <v>69</v>
      </c>
      <c r="P19" s="25" t="s">
        <v>69</v>
      </c>
      <c r="Q19" s="25" t="s">
        <v>69</v>
      </c>
      <c r="R19" s="25" t="s">
        <v>69</v>
      </c>
      <c r="S19" s="25" t="s">
        <v>69</v>
      </c>
      <c r="T19" s="25" t="s">
        <v>69</v>
      </c>
      <c r="U19" s="25" t="s">
        <v>69</v>
      </c>
      <c r="V19" s="25" t="s">
        <v>69</v>
      </c>
      <c r="W19" s="25" t="s">
        <v>69</v>
      </c>
      <c r="X19" s="25" t="s">
        <v>69</v>
      </c>
      <c r="Y19" s="25" t="s">
        <v>69</v>
      </c>
      <c r="Z19" s="25" t="s">
        <v>69</v>
      </c>
      <c r="AA19" s="25" t="s">
        <v>69</v>
      </c>
      <c r="AB19" s="25" t="s">
        <v>69</v>
      </c>
      <c r="AC19" s="25" t="s">
        <v>69</v>
      </c>
      <c r="AD19" s="25" t="s">
        <v>69</v>
      </c>
      <c r="AE19" s="25" t="s">
        <v>69</v>
      </c>
      <c r="AF19" s="25" t="s">
        <v>69</v>
      </c>
      <c r="AG19" s="25" t="s">
        <v>69</v>
      </c>
      <c r="AH19" s="31"/>
    </row>
    <row r="20" spans="1:34" ht="12" customHeight="1" x14ac:dyDescent="0.25">
      <c r="A20" s="20" t="s">
        <v>68</v>
      </c>
      <c r="B20" s="18">
        <v>3.34</v>
      </c>
      <c r="C20" s="18">
        <v>3.34</v>
      </c>
      <c r="D20" s="18">
        <v>2.6208</v>
      </c>
      <c r="E20" s="18">
        <v>2.6208</v>
      </c>
      <c r="F20" s="18">
        <v>2.6208</v>
      </c>
      <c r="G20" s="18">
        <v>2.6208</v>
      </c>
      <c r="H20" s="18">
        <v>2.6208</v>
      </c>
      <c r="I20" s="18">
        <v>2.6208</v>
      </c>
      <c r="J20" s="18">
        <v>2.6208</v>
      </c>
      <c r="K20" s="18">
        <v>2.6208</v>
      </c>
      <c r="L20" s="18">
        <v>2.6208</v>
      </c>
      <c r="M20" s="18">
        <v>2.6208</v>
      </c>
      <c r="N20" s="18">
        <v>1.885</v>
      </c>
      <c r="O20" s="18">
        <v>0.9425</v>
      </c>
      <c r="P20" s="18" t="s">
        <v>65</v>
      </c>
      <c r="Q20" s="18" t="s">
        <v>65</v>
      </c>
      <c r="R20" s="18" t="s">
        <v>65</v>
      </c>
      <c r="S20" s="18" t="s">
        <v>65</v>
      </c>
      <c r="T20" s="18" t="s">
        <v>65</v>
      </c>
      <c r="U20" s="18" t="s">
        <v>65</v>
      </c>
      <c r="V20" s="18" t="s">
        <v>65</v>
      </c>
      <c r="W20" s="18" t="s">
        <v>65</v>
      </c>
      <c r="X20" s="18" t="s">
        <v>65</v>
      </c>
      <c r="Y20" s="18" t="s">
        <v>65</v>
      </c>
      <c r="Z20" s="18" t="s">
        <v>65</v>
      </c>
      <c r="AA20" s="18" t="s">
        <v>65</v>
      </c>
      <c r="AB20" s="18" t="s">
        <v>65</v>
      </c>
      <c r="AC20" s="19" t="s">
        <v>65</v>
      </c>
      <c r="AD20" s="19" t="s">
        <v>65</v>
      </c>
      <c r="AE20" s="19" t="s">
        <v>65</v>
      </c>
      <c r="AF20" s="19" t="s">
        <v>65</v>
      </c>
      <c r="AG20" s="18" t="s">
        <v>69</v>
      </c>
      <c r="AH20" s="31"/>
    </row>
    <row r="21" spans="1:34" ht="13.5" customHeight="1" x14ac:dyDescent="0.25">
      <c r="A21" s="20" t="s">
        <v>70</v>
      </c>
      <c r="B21" s="18" t="s">
        <v>65</v>
      </c>
      <c r="C21" s="18" t="s">
        <v>65</v>
      </c>
      <c r="D21" s="18" t="s">
        <v>65</v>
      </c>
      <c r="E21" s="18" t="s">
        <v>65</v>
      </c>
      <c r="F21" s="18" t="s">
        <v>65</v>
      </c>
      <c r="G21" s="18" t="s">
        <v>65</v>
      </c>
      <c r="H21" s="18" t="s">
        <v>65</v>
      </c>
      <c r="I21" s="18" t="s">
        <v>65</v>
      </c>
      <c r="J21" s="18" t="s">
        <v>65</v>
      </c>
      <c r="K21" s="18" t="s">
        <v>65</v>
      </c>
      <c r="L21" s="18" t="s">
        <v>65</v>
      </c>
      <c r="M21" s="18" t="s">
        <v>65</v>
      </c>
      <c r="N21" s="18" t="s">
        <v>65</v>
      </c>
      <c r="O21" s="18" t="s">
        <v>65</v>
      </c>
      <c r="P21" s="18" t="s">
        <v>65</v>
      </c>
      <c r="Q21" s="18" t="s">
        <v>65</v>
      </c>
      <c r="R21" s="18" t="s">
        <v>65</v>
      </c>
      <c r="S21" s="18" t="s">
        <v>65</v>
      </c>
      <c r="T21" s="18" t="s">
        <v>65</v>
      </c>
      <c r="U21" s="18" t="s">
        <v>65</v>
      </c>
      <c r="V21" s="18" t="s">
        <v>65</v>
      </c>
      <c r="W21" s="18" t="s">
        <v>65</v>
      </c>
      <c r="X21" s="18" t="s">
        <v>65</v>
      </c>
      <c r="Y21" s="18" t="s">
        <v>65</v>
      </c>
      <c r="Z21" s="18" t="s">
        <v>65</v>
      </c>
      <c r="AA21" s="18" t="s">
        <v>65</v>
      </c>
      <c r="AB21" s="18" t="s">
        <v>65</v>
      </c>
      <c r="AC21" s="19" t="s">
        <v>65</v>
      </c>
      <c r="AD21" s="19" t="s">
        <v>65</v>
      </c>
      <c r="AE21" s="19" t="s">
        <v>65</v>
      </c>
      <c r="AF21" s="19" t="s">
        <v>65</v>
      </c>
      <c r="AG21" s="18">
        <v>0</v>
      </c>
      <c r="AH21" s="31"/>
    </row>
    <row r="22" spans="1:34" ht="13.5" customHeight="1" x14ac:dyDescent="0.25">
      <c r="A22" s="21" t="s">
        <v>71</v>
      </c>
      <c r="B22" s="18" t="s">
        <v>65</v>
      </c>
      <c r="C22" s="18" t="s">
        <v>65</v>
      </c>
      <c r="D22" s="18" t="s">
        <v>65</v>
      </c>
      <c r="E22" s="18" t="s">
        <v>65</v>
      </c>
      <c r="F22" s="18" t="s">
        <v>65</v>
      </c>
      <c r="G22" s="18" t="s">
        <v>65</v>
      </c>
      <c r="H22" s="18" t="s">
        <v>65</v>
      </c>
      <c r="I22" s="18" t="s">
        <v>65</v>
      </c>
      <c r="J22" s="18" t="s">
        <v>65</v>
      </c>
      <c r="K22" s="18" t="s">
        <v>65</v>
      </c>
      <c r="L22" s="18" t="s">
        <v>65</v>
      </c>
      <c r="M22" s="18" t="s">
        <v>65</v>
      </c>
      <c r="N22" s="18" t="s">
        <v>65</v>
      </c>
      <c r="O22" s="18" t="s">
        <v>65</v>
      </c>
      <c r="P22" s="18" t="s">
        <v>65</v>
      </c>
      <c r="Q22" s="18" t="s">
        <v>65</v>
      </c>
      <c r="R22" s="18" t="s">
        <v>65</v>
      </c>
      <c r="S22" s="18" t="s">
        <v>65</v>
      </c>
      <c r="T22" s="18" t="s">
        <v>65</v>
      </c>
      <c r="U22" s="18" t="s">
        <v>65</v>
      </c>
      <c r="V22" s="18" t="s">
        <v>65</v>
      </c>
      <c r="W22" s="18" t="s">
        <v>65</v>
      </c>
      <c r="X22" s="18" t="s">
        <v>65</v>
      </c>
      <c r="Y22" s="18" t="s">
        <v>65</v>
      </c>
      <c r="Z22" s="18" t="s">
        <v>65</v>
      </c>
      <c r="AA22" s="18" t="s">
        <v>65</v>
      </c>
      <c r="AB22" s="18" t="s">
        <v>65</v>
      </c>
      <c r="AC22" s="19" t="s">
        <v>65</v>
      </c>
      <c r="AD22" s="19" t="s">
        <v>65</v>
      </c>
      <c r="AE22" s="19" t="s">
        <v>65</v>
      </c>
      <c r="AF22" s="19" t="s">
        <v>65</v>
      </c>
      <c r="AG22" s="18">
        <v>0</v>
      </c>
      <c r="AH22" s="31"/>
    </row>
    <row r="23" spans="1:34" ht="12.75" customHeight="1" x14ac:dyDescent="0.25">
      <c r="A23" s="20" t="s">
        <v>72</v>
      </c>
      <c r="B23" s="25" t="s">
        <v>69</v>
      </c>
      <c r="C23" s="25" t="s">
        <v>69</v>
      </c>
      <c r="D23" s="25" t="s">
        <v>69</v>
      </c>
      <c r="E23" s="25" t="s">
        <v>69</v>
      </c>
      <c r="F23" s="25" t="s">
        <v>69</v>
      </c>
      <c r="G23" s="25" t="s">
        <v>69</v>
      </c>
      <c r="H23" s="25" t="s">
        <v>69</v>
      </c>
      <c r="I23" s="25" t="s">
        <v>69</v>
      </c>
      <c r="J23" s="25" t="s">
        <v>69</v>
      </c>
      <c r="K23" s="25" t="s">
        <v>69</v>
      </c>
      <c r="L23" s="25" t="s">
        <v>69</v>
      </c>
      <c r="M23" s="25" t="s">
        <v>69</v>
      </c>
      <c r="N23" s="25" t="s">
        <v>69</v>
      </c>
      <c r="O23" s="25" t="s">
        <v>69</v>
      </c>
      <c r="P23" s="25" t="s">
        <v>69</v>
      </c>
      <c r="Q23" s="25" t="s">
        <v>69</v>
      </c>
      <c r="R23" s="25" t="s">
        <v>69</v>
      </c>
      <c r="S23" s="25" t="s">
        <v>69</v>
      </c>
      <c r="T23" s="25" t="s">
        <v>69</v>
      </c>
      <c r="U23" s="25" t="s">
        <v>69</v>
      </c>
      <c r="V23" s="25" t="s">
        <v>69</v>
      </c>
      <c r="W23" s="25" t="s">
        <v>69</v>
      </c>
      <c r="X23" s="25" t="s">
        <v>69</v>
      </c>
      <c r="Y23" s="25" t="s">
        <v>69</v>
      </c>
      <c r="Z23" s="25" t="s">
        <v>69</v>
      </c>
      <c r="AA23" s="25" t="s">
        <v>69</v>
      </c>
      <c r="AB23" s="25" t="s">
        <v>69</v>
      </c>
      <c r="AC23" s="25" t="s">
        <v>69</v>
      </c>
      <c r="AD23" s="25" t="s">
        <v>69</v>
      </c>
      <c r="AE23" s="25" t="s">
        <v>69</v>
      </c>
      <c r="AF23" s="25" t="s">
        <v>69</v>
      </c>
      <c r="AG23" s="25" t="s">
        <v>69</v>
      </c>
      <c r="AH23" s="31"/>
    </row>
    <row r="24" spans="1:34" ht="12.75" customHeight="1" x14ac:dyDescent="0.25">
      <c r="A24" s="21" t="s">
        <v>73</v>
      </c>
      <c r="B24" s="25" t="s">
        <v>69</v>
      </c>
      <c r="C24" s="25" t="s">
        <v>69</v>
      </c>
      <c r="D24" s="25" t="s">
        <v>69</v>
      </c>
      <c r="E24" s="25" t="s">
        <v>69</v>
      </c>
      <c r="F24" s="25" t="s">
        <v>69</v>
      </c>
      <c r="G24" s="25" t="s">
        <v>69</v>
      </c>
      <c r="H24" s="25" t="s">
        <v>69</v>
      </c>
      <c r="I24" s="25" t="s">
        <v>69</v>
      </c>
      <c r="J24" s="25" t="s">
        <v>69</v>
      </c>
      <c r="K24" s="25" t="s">
        <v>69</v>
      </c>
      <c r="L24" s="25" t="s">
        <v>69</v>
      </c>
      <c r="M24" s="25" t="s">
        <v>69</v>
      </c>
      <c r="N24" s="25" t="s">
        <v>69</v>
      </c>
      <c r="O24" s="25" t="s">
        <v>69</v>
      </c>
      <c r="P24" s="25" t="s">
        <v>69</v>
      </c>
      <c r="Q24" s="25" t="s">
        <v>69</v>
      </c>
      <c r="R24" s="25" t="s">
        <v>69</v>
      </c>
      <c r="S24" s="25" t="s">
        <v>69</v>
      </c>
      <c r="T24" s="25" t="s">
        <v>69</v>
      </c>
      <c r="U24" s="25" t="s">
        <v>69</v>
      </c>
      <c r="V24" s="25" t="s">
        <v>69</v>
      </c>
      <c r="W24" s="25" t="s">
        <v>69</v>
      </c>
      <c r="X24" s="25" t="s">
        <v>69</v>
      </c>
      <c r="Y24" s="25" t="s">
        <v>69</v>
      </c>
      <c r="Z24" s="25" t="s">
        <v>69</v>
      </c>
      <c r="AA24" s="25" t="s">
        <v>69</v>
      </c>
      <c r="AB24" s="25" t="s">
        <v>69</v>
      </c>
      <c r="AC24" s="25" t="s">
        <v>69</v>
      </c>
      <c r="AD24" s="25" t="s">
        <v>69</v>
      </c>
      <c r="AE24" s="25" t="s">
        <v>69</v>
      </c>
      <c r="AF24" s="25" t="s">
        <v>69</v>
      </c>
      <c r="AG24" s="25" t="s">
        <v>69</v>
      </c>
      <c r="AH24" s="31"/>
    </row>
    <row r="25" spans="1:34" ht="12" customHeight="1" x14ac:dyDescent="0.25">
      <c r="A25" s="21" t="s">
        <v>74</v>
      </c>
      <c r="B25" s="18">
        <v>0.105174</v>
      </c>
      <c r="C25" s="18">
        <v>0.105174</v>
      </c>
      <c r="D25" s="18">
        <v>0.105771</v>
      </c>
      <c r="E25" s="18">
        <v>0.10663499999999999</v>
      </c>
      <c r="F25" s="18">
        <v>0.107223</v>
      </c>
      <c r="G25" s="18">
        <v>0.10757700000000001</v>
      </c>
      <c r="H25" s="18">
        <v>0.108039</v>
      </c>
      <c r="I25" s="18">
        <v>0.108783</v>
      </c>
      <c r="J25" s="18">
        <v>0.109929</v>
      </c>
      <c r="K25" s="18">
        <v>0.111093</v>
      </c>
      <c r="L25" s="18">
        <v>0.112248</v>
      </c>
      <c r="M25" s="18">
        <v>0.11368499999999999</v>
      </c>
      <c r="N25" s="18">
        <v>0.115416</v>
      </c>
      <c r="O25" s="18">
        <v>0.117516</v>
      </c>
      <c r="P25" s="18">
        <v>0.119397</v>
      </c>
      <c r="Q25" s="18">
        <v>0.12135600000000001</v>
      </c>
      <c r="R25" s="18">
        <v>0.124014</v>
      </c>
      <c r="S25" s="18">
        <v>0.12698699999999999</v>
      </c>
      <c r="T25" s="18">
        <v>0.131274</v>
      </c>
      <c r="U25" s="18">
        <v>0.13455300000000001</v>
      </c>
      <c r="V25" s="18">
        <v>0.13600200000000001</v>
      </c>
      <c r="W25" s="18">
        <v>0.13664399999999999</v>
      </c>
      <c r="X25" s="18">
        <v>0.13724700000000001</v>
      </c>
      <c r="Y25" s="18">
        <v>0.13756199999999999</v>
      </c>
      <c r="Z25" s="18">
        <v>0.137793</v>
      </c>
      <c r="AA25" s="18">
        <v>0.13828799999999999</v>
      </c>
      <c r="AB25" s="18">
        <v>0.13906199999999999</v>
      </c>
      <c r="AC25" s="19">
        <v>0.14285595000000001</v>
      </c>
      <c r="AD25" s="19">
        <v>0.14353716</v>
      </c>
      <c r="AE25" s="19">
        <v>0.14421837000000001</v>
      </c>
      <c r="AF25" s="19">
        <v>0.147645</v>
      </c>
      <c r="AG25" s="18">
        <v>40.381653260310998</v>
      </c>
      <c r="AH25" s="31"/>
    </row>
    <row r="26" spans="1:34" ht="12" customHeight="1" x14ac:dyDescent="0.25">
      <c r="A26" s="20" t="s">
        <v>75</v>
      </c>
      <c r="B26" s="18" t="s">
        <v>65</v>
      </c>
      <c r="C26" s="18" t="s">
        <v>65</v>
      </c>
      <c r="D26" s="18" t="s">
        <v>65</v>
      </c>
      <c r="E26" s="18" t="s">
        <v>65</v>
      </c>
      <c r="F26" s="18" t="s">
        <v>65</v>
      </c>
      <c r="G26" s="18" t="s">
        <v>65</v>
      </c>
      <c r="H26" s="18" t="s">
        <v>65</v>
      </c>
      <c r="I26" s="18" t="s">
        <v>65</v>
      </c>
      <c r="J26" s="18" t="s">
        <v>65</v>
      </c>
      <c r="K26" s="18" t="s">
        <v>65</v>
      </c>
      <c r="L26" s="18" t="s">
        <v>65</v>
      </c>
      <c r="M26" s="18" t="s">
        <v>65</v>
      </c>
      <c r="N26" s="18" t="s">
        <v>65</v>
      </c>
      <c r="O26" s="18" t="s">
        <v>65</v>
      </c>
      <c r="P26" s="18" t="s">
        <v>65</v>
      </c>
      <c r="Q26" s="18" t="s">
        <v>65</v>
      </c>
      <c r="R26" s="18" t="s">
        <v>65</v>
      </c>
      <c r="S26" s="18" t="s">
        <v>65</v>
      </c>
      <c r="T26" s="18" t="s">
        <v>65</v>
      </c>
      <c r="U26" s="18" t="s">
        <v>65</v>
      </c>
      <c r="V26" s="18" t="s">
        <v>65</v>
      </c>
      <c r="W26" s="18" t="s">
        <v>65</v>
      </c>
      <c r="X26" s="18" t="s">
        <v>65</v>
      </c>
      <c r="Y26" s="18" t="s">
        <v>65</v>
      </c>
      <c r="Z26" s="18" t="s">
        <v>65</v>
      </c>
      <c r="AA26" s="18" t="s">
        <v>65</v>
      </c>
      <c r="AB26" s="18" t="s">
        <v>65</v>
      </c>
      <c r="AC26" s="19" t="s">
        <v>65</v>
      </c>
      <c r="AD26" s="19" t="s">
        <v>65</v>
      </c>
      <c r="AE26" s="19" t="s">
        <v>65</v>
      </c>
      <c r="AF26" s="19" t="s">
        <v>65</v>
      </c>
      <c r="AG26" s="18">
        <v>0</v>
      </c>
      <c r="AH26" s="31"/>
    </row>
    <row r="27" spans="1:34" ht="12" customHeight="1" x14ac:dyDescent="0.25">
      <c r="A27" s="22" t="s">
        <v>76</v>
      </c>
      <c r="B27" s="14">
        <v>21.172749344952489</v>
      </c>
      <c r="C27" s="14">
        <v>21.172749344952489</v>
      </c>
      <c r="D27" s="14">
        <v>21.120708697148022</v>
      </c>
      <c r="E27" s="14">
        <v>20.86500325278412</v>
      </c>
      <c r="F27" s="14">
        <v>21.261196726248301</v>
      </c>
      <c r="G27" s="14">
        <v>22.059105926651188</v>
      </c>
      <c r="H27" s="14">
        <v>22.938021641232059</v>
      </c>
      <c r="I27" s="14">
        <v>23.111310385256449</v>
      </c>
      <c r="J27" s="14">
        <v>22.594718088500031</v>
      </c>
      <c r="K27" s="14">
        <v>23.80150961189009</v>
      </c>
      <c r="L27" s="14">
        <v>23.754226211588229</v>
      </c>
      <c r="M27" s="14">
        <v>22.67407230624524</v>
      </c>
      <c r="N27" s="14">
        <v>21.747336496642991</v>
      </c>
      <c r="O27" s="14">
        <v>21.551986823524722</v>
      </c>
      <c r="P27" s="14">
        <v>22.135542873339759</v>
      </c>
      <c r="Q27" s="14">
        <v>21.73982203225118</v>
      </c>
      <c r="R27" s="14">
        <v>21.25736198273059</v>
      </c>
      <c r="S27" s="14">
        <v>20.549807581058289</v>
      </c>
      <c r="T27" s="14">
        <v>19.738491618239991</v>
      </c>
      <c r="U27" s="14">
        <v>19.590231599233231</v>
      </c>
      <c r="V27" s="14">
        <v>19.056511970650849</v>
      </c>
      <c r="W27" s="14">
        <v>19.888147991773621</v>
      </c>
      <c r="X27" s="14">
        <v>18.531895969669471</v>
      </c>
      <c r="Y27" s="14">
        <v>19.353919959215709</v>
      </c>
      <c r="Z27" s="14">
        <v>20.79110677626343</v>
      </c>
      <c r="AA27" s="14">
        <v>19.886203047384541</v>
      </c>
      <c r="AB27" s="14">
        <v>20.08658292086389</v>
      </c>
      <c r="AC27" s="14">
        <v>20.324956918765039</v>
      </c>
      <c r="AD27" s="14">
        <v>21.429750540732059</v>
      </c>
      <c r="AE27" s="14">
        <v>22.544972721288008</v>
      </c>
      <c r="AF27" s="14">
        <v>21.20916982151039</v>
      </c>
      <c r="AG27" s="14">
        <v>0.17201581128900001</v>
      </c>
      <c r="AH27" s="31"/>
    </row>
    <row r="28" spans="1:34" ht="12" customHeight="1" x14ac:dyDescent="0.25">
      <c r="A28" s="16" t="s">
        <v>77</v>
      </c>
      <c r="B28" s="25" t="s">
        <v>69</v>
      </c>
      <c r="C28" s="25" t="s">
        <v>69</v>
      </c>
      <c r="D28" s="25" t="s">
        <v>69</v>
      </c>
      <c r="E28" s="25" t="s">
        <v>69</v>
      </c>
      <c r="F28" s="25" t="s">
        <v>69</v>
      </c>
      <c r="G28" s="25" t="s">
        <v>69</v>
      </c>
      <c r="H28" s="25" t="s">
        <v>69</v>
      </c>
      <c r="I28" s="25" t="s">
        <v>69</v>
      </c>
      <c r="J28" s="25" t="s">
        <v>69</v>
      </c>
      <c r="K28" s="25" t="s">
        <v>69</v>
      </c>
      <c r="L28" s="25" t="s">
        <v>69</v>
      </c>
      <c r="M28" s="25" t="s">
        <v>69</v>
      </c>
      <c r="N28" s="25" t="s">
        <v>69</v>
      </c>
      <c r="O28" s="25" t="s">
        <v>69</v>
      </c>
      <c r="P28" s="25" t="s">
        <v>69</v>
      </c>
      <c r="Q28" s="25" t="s">
        <v>69</v>
      </c>
      <c r="R28" s="25" t="s">
        <v>69</v>
      </c>
      <c r="S28" s="25" t="s">
        <v>69</v>
      </c>
      <c r="T28" s="25" t="s">
        <v>69</v>
      </c>
      <c r="U28" s="25" t="s">
        <v>69</v>
      </c>
      <c r="V28" s="25" t="s">
        <v>69</v>
      </c>
      <c r="W28" s="25" t="s">
        <v>69</v>
      </c>
      <c r="X28" s="25" t="s">
        <v>69</v>
      </c>
      <c r="Y28" s="25" t="s">
        <v>69</v>
      </c>
      <c r="Z28" s="25" t="s">
        <v>69</v>
      </c>
      <c r="AA28" s="25" t="s">
        <v>69</v>
      </c>
      <c r="AB28" s="25" t="s">
        <v>69</v>
      </c>
      <c r="AC28" s="25" t="s">
        <v>69</v>
      </c>
      <c r="AD28" s="25" t="s">
        <v>69</v>
      </c>
      <c r="AE28" s="25" t="s">
        <v>69</v>
      </c>
      <c r="AF28" s="25" t="s">
        <v>69</v>
      </c>
      <c r="AG28" s="25" t="s">
        <v>69</v>
      </c>
      <c r="AH28" s="31"/>
    </row>
    <row r="29" spans="1:34" ht="12" customHeight="1" x14ac:dyDescent="0.25">
      <c r="A29" s="16" t="s">
        <v>78</v>
      </c>
      <c r="B29" s="18">
        <v>1.6408689373800101</v>
      </c>
      <c r="C29" s="18">
        <v>1.6408689373800101</v>
      </c>
      <c r="D29" s="18">
        <v>1.6808520096607</v>
      </c>
      <c r="E29" s="18">
        <v>1.7114176313441001</v>
      </c>
      <c r="F29" s="18">
        <v>1.7322095047732899</v>
      </c>
      <c r="G29" s="18">
        <v>1.74792419649291</v>
      </c>
      <c r="H29" s="18">
        <v>1.7795887820426199</v>
      </c>
      <c r="I29" s="18">
        <v>1.86075176183143</v>
      </c>
      <c r="J29" s="18">
        <v>1.93923566066228</v>
      </c>
      <c r="K29" s="18">
        <v>1.98794899182524</v>
      </c>
      <c r="L29" s="18">
        <v>1.9231289039805499</v>
      </c>
      <c r="M29" s="18">
        <v>1.8452747368354401</v>
      </c>
      <c r="N29" s="18">
        <v>1.86919055435565</v>
      </c>
      <c r="O29" s="18">
        <v>1.8874478712440601</v>
      </c>
      <c r="P29" s="18">
        <v>1.88561519708657</v>
      </c>
      <c r="Q29" s="18">
        <v>1.8515313780425799</v>
      </c>
      <c r="R29" s="18">
        <v>1.92457775825295</v>
      </c>
      <c r="S29" s="18">
        <v>1.9648376415311599</v>
      </c>
      <c r="T29" s="18">
        <v>1.8586492873776801</v>
      </c>
      <c r="U29" s="18">
        <v>1.8816199015572399</v>
      </c>
      <c r="V29" s="18">
        <v>1.8519627994227099</v>
      </c>
      <c r="W29" s="18">
        <v>1.78175221417461</v>
      </c>
      <c r="X29" s="18">
        <v>1.76119800661762</v>
      </c>
      <c r="Y29" s="18">
        <v>1.9525799690752399</v>
      </c>
      <c r="Z29" s="18">
        <v>1.93489237241584</v>
      </c>
      <c r="AA29" s="18">
        <v>1.82406509187648</v>
      </c>
      <c r="AB29" s="18">
        <v>1.91854762730321</v>
      </c>
      <c r="AC29" s="19">
        <v>1.9722037442126701</v>
      </c>
      <c r="AD29" s="19">
        <v>2.0410161151283699</v>
      </c>
      <c r="AE29" s="19">
        <v>2.1559205835717199</v>
      </c>
      <c r="AF29" s="19">
        <v>2.0033946994511802</v>
      </c>
      <c r="AG29" s="18">
        <v>22.093523365127002</v>
      </c>
      <c r="AH29" s="31"/>
    </row>
    <row r="30" spans="1:34" ht="12" customHeight="1" x14ac:dyDescent="0.25">
      <c r="A30" s="16" t="s">
        <v>79</v>
      </c>
      <c r="B30" s="25" t="s">
        <v>69</v>
      </c>
      <c r="C30" s="25" t="s">
        <v>69</v>
      </c>
      <c r="D30" s="25" t="s">
        <v>69</v>
      </c>
      <c r="E30" s="25" t="s">
        <v>69</v>
      </c>
      <c r="F30" s="25" t="s">
        <v>69</v>
      </c>
      <c r="G30" s="25" t="s">
        <v>69</v>
      </c>
      <c r="H30" s="25" t="s">
        <v>69</v>
      </c>
      <c r="I30" s="25" t="s">
        <v>69</v>
      </c>
      <c r="J30" s="25" t="s">
        <v>69</v>
      </c>
      <c r="K30" s="25" t="s">
        <v>69</v>
      </c>
      <c r="L30" s="25" t="s">
        <v>69</v>
      </c>
      <c r="M30" s="25" t="s">
        <v>69</v>
      </c>
      <c r="N30" s="25" t="s">
        <v>69</v>
      </c>
      <c r="O30" s="25" t="s">
        <v>69</v>
      </c>
      <c r="P30" s="25" t="s">
        <v>69</v>
      </c>
      <c r="Q30" s="25" t="s">
        <v>69</v>
      </c>
      <c r="R30" s="25" t="s">
        <v>69</v>
      </c>
      <c r="S30" s="25" t="s">
        <v>69</v>
      </c>
      <c r="T30" s="25" t="s">
        <v>69</v>
      </c>
      <c r="U30" s="25" t="s">
        <v>69</v>
      </c>
      <c r="V30" s="25" t="s">
        <v>69</v>
      </c>
      <c r="W30" s="25" t="s">
        <v>69</v>
      </c>
      <c r="X30" s="25" t="s">
        <v>69</v>
      </c>
      <c r="Y30" s="25" t="s">
        <v>69</v>
      </c>
      <c r="Z30" s="25" t="s">
        <v>69</v>
      </c>
      <c r="AA30" s="25" t="s">
        <v>69</v>
      </c>
      <c r="AB30" s="25" t="s">
        <v>69</v>
      </c>
      <c r="AC30" s="25" t="s">
        <v>69</v>
      </c>
      <c r="AD30" s="25" t="s">
        <v>69</v>
      </c>
      <c r="AE30" s="25" t="s">
        <v>69</v>
      </c>
      <c r="AF30" s="25" t="s">
        <v>69</v>
      </c>
      <c r="AG30" s="25" t="s">
        <v>69</v>
      </c>
      <c r="AH30" s="31"/>
    </row>
    <row r="31" spans="1:34" ht="12" customHeight="1" x14ac:dyDescent="0.25">
      <c r="A31" s="16" t="s">
        <v>80</v>
      </c>
      <c r="B31" s="18">
        <v>19.53188040757248</v>
      </c>
      <c r="C31" s="18">
        <v>19.53188040757248</v>
      </c>
      <c r="D31" s="18">
        <v>19.439856687487321</v>
      </c>
      <c r="E31" s="18">
        <v>19.153585621440019</v>
      </c>
      <c r="F31" s="18">
        <v>19.52898722147501</v>
      </c>
      <c r="G31" s="18">
        <v>20.311181730158282</v>
      </c>
      <c r="H31" s="18">
        <v>21.158432859189439</v>
      </c>
      <c r="I31" s="18">
        <v>21.250558623425022</v>
      </c>
      <c r="J31" s="18">
        <v>20.65548242783775</v>
      </c>
      <c r="K31" s="18">
        <v>21.813560620064852</v>
      </c>
      <c r="L31" s="18">
        <v>21.831097307607681</v>
      </c>
      <c r="M31" s="18">
        <v>20.828797569409801</v>
      </c>
      <c r="N31" s="18">
        <v>19.87814594228734</v>
      </c>
      <c r="O31" s="18">
        <v>19.664538952280662</v>
      </c>
      <c r="P31" s="18">
        <v>20.24992767625319</v>
      </c>
      <c r="Q31" s="18">
        <v>19.8882906542086</v>
      </c>
      <c r="R31" s="18">
        <v>19.332784224477638</v>
      </c>
      <c r="S31" s="18">
        <v>18.584969939527131</v>
      </c>
      <c r="T31" s="18">
        <v>17.87984233086231</v>
      </c>
      <c r="U31" s="18">
        <v>17.708611697675991</v>
      </c>
      <c r="V31" s="18">
        <v>17.204549171228141</v>
      </c>
      <c r="W31" s="18">
        <v>18.106395777599008</v>
      </c>
      <c r="X31" s="18">
        <v>16.770697963051848</v>
      </c>
      <c r="Y31" s="18">
        <v>17.401339990140471</v>
      </c>
      <c r="Z31" s="18">
        <v>18.856214403847591</v>
      </c>
      <c r="AA31" s="18">
        <v>18.06213795550806</v>
      </c>
      <c r="AB31" s="18">
        <v>18.168035293560681</v>
      </c>
      <c r="AC31" s="19">
        <v>18.352753174552369</v>
      </c>
      <c r="AD31" s="19">
        <v>19.38873442560369</v>
      </c>
      <c r="AE31" s="19">
        <v>20.389052137716291</v>
      </c>
      <c r="AF31" s="19">
        <v>19.205775122059212</v>
      </c>
      <c r="AG31" s="18">
        <v>-1.6696051722030001</v>
      </c>
      <c r="AH31" s="31"/>
    </row>
    <row r="32" spans="1:34" ht="12.75" customHeight="1" x14ac:dyDescent="0.25">
      <c r="A32" s="16" t="s">
        <v>81</v>
      </c>
      <c r="B32" s="18" t="s">
        <v>65</v>
      </c>
      <c r="C32" s="18" t="s">
        <v>65</v>
      </c>
      <c r="D32" s="18" t="s">
        <v>65</v>
      </c>
      <c r="E32" s="18" t="s">
        <v>65</v>
      </c>
      <c r="F32" s="18" t="s">
        <v>65</v>
      </c>
      <c r="G32" s="18" t="s">
        <v>65</v>
      </c>
      <c r="H32" s="18" t="s">
        <v>65</v>
      </c>
      <c r="I32" s="18" t="s">
        <v>65</v>
      </c>
      <c r="J32" s="18" t="s">
        <v>65</v>
      </c>
      <c r="K32" s="18" t="s">
        <v>65</v>
      </c>
      <c r="L32" s="18" t="s">
        <v>65</v>
      </c>
      <c r="M32" s="18" t="s">
        <v>65</v>
      </c>
      <c r="N32" s="18" t="s">
        <v>65</v>
      </c>
      <c r="O32" s="18" t="s">
        <v>65</v>
      </c>
      <c r="P32" s="18" t="s">
        <v>65</v>
      </c>
      <c r="Q32" s="18" t="s">
        <v>65</v>
      </c>
      <c r="R32" s="18" t="s">
        <v>65</v>
      </c>
      <c r="S32" s="18" t="s">
        <v>65</v>
      </c>
      <c r="T32" s="18" t="s">
        <v>65</v>
      </c>
      <c r="U32" s="18" t="s">
        <v>65</v>
      </c>
      <c r="V32" s="18" t="s">
        <v>65</v>
      </c>
      <c r="W32" s="18" t="s">
        <v>65</v>
      </c>
      <c r="X32" s="18" t="s">
        <v>65</v>
      </c>
      <c r="Y32" s="18" t="s">
        <v>65</v>
      </c>
      <c r="Z32" s="18" t="s">
        <v>65</v>
      </c>
      <c r="AA32" s="18" t="s">
        <v>65</v>
      </c>
      <c r="AB32" s="18" t="s">
        <v>65</v>
      </c>
      <c r="AC32" s="19" t="s">
        <v>65</v>
      </c>
      <c r="AD32" s="19" t="s">
        <v>65</v>
      </c>
      <c r="AE32" s="19" t="s">
        <v>65</v>
      </c>
      <c r="AF32" s="19" t="s">
        <v>65</v>
      </c>
      <c r="AG32" s="18">
        <v>0</v>
      </c>
      <c r="AH32" s="31"/>
    </row>
    <row r="33" spans="1:34" ht="12" customHeight="1" x14ac:dyDescent="0.25">
      <c r="A33" s="16" t="s">
        <v>82</v>
      </c>
      <c r="B33" s="18" t="s">
        <v>65</v>
      </c>
      <c r="C33" s="18" t="s">
        <v>65</v>
      </c>
      <c r="D33" s="18" t="s">
        <v>65</v>
      </c>
      <c r="E33" s="18" t="s">
        <v>65</v>
      </c>
      <c r="F33" s="18" t="s">
        <v>65</v>
      </c>
      <c r="G33" s="18" t="s">
        <v>65</v>
      </c>
      <c r="H33" s="18" t="s">
        <v>65</v>
      </c>
      <c r="I33" s="18" t="s">
        <v>65</v>
      </c>
      <c r="J33" s="18" t="s">
        <v>65</v>
      </c>
      <c r="K33" s="18" t="s">
        <v>65</v>
      </c>
      <c r="L33" s="18" t="s">
        <v>65</v>
      </c>
      <c r="M33" s="18" t="s">
        <v>65</v>
      </c>
      <c r="N33" s="18" t="s">
        <v>65</v>
      </c>
      <c r="O33" s="18" t="s">
        <v>65</v>
      </c>
      <c r="P33" s="18" t="s">
        <v>65</v>
      </c>
      <c r="Q33" s="18" t="s">
        <v>65</v>
      </c>
      <c r="R33" s="18" t="s">
        <v>65</v>
      </c>
      <c r="S33" s="18" t="s">
        <v>65</v>
      </c>
      <c r="T33" s="18" t="s">
        <v>65</v>
      </c>
      <c r="U33" s="18" t="s">
        <v>65</v>
      </c>
      <c r="V33" s="18" t="s">
        <v>65</v>
      </c>
      <c r="W33" s="18" t="s">
        <v>65</v>
      </c>
      <c r="X33" s="18" t="s">
        <v>65</v>
      </c>
      <c r="Y33" s="18" t="s">
        <v>65</v>
      </c>
      <c r="Z33" s="18" t="s">
        <v>65</v>
      </c>
      <c r="AA33" s="18" t="s">
        <v>65</v>
      </c>
      <c r="AB33" s="18" t="s">
        <v>65</v>
      </c>
      <c r="AC33" s="19" t="s">
        <v>65</v>
      </c>
      <c r="AD33" s="19" t="s">
        <v>65</v>
      </c>
      <c r="AE33" s="19" t="s">
        <v>65</v>
      </c>
      <c r="AF33" s="19" t="s">
        <v>65</v>
      </c>
      <c r="AG33" s="18">
        <v>0</v>
      </c>
      <c r="AH33" s="31"/>
    </row>
    <row r="34" spans="1:34" ht="12" customHeight="1" x14ac:dyDescent="0.25">
      <c r="A34" s="16" t="s">
        <v>128</v>
      </c>
      <c r="B34" s="25" t="s">
        <v>69</v>
      </c>
      <c r="C34" s="25" t="s">
        <v>69</v>
      </c>
      <c r="D34" s="25" t="s">
        <v>69</v>
      </c>
      <c r="E34" s="25" t="s">
        <v>69</v>
      </c>
      <c r="F34" s="25" t="s">
        <v>69</v>
      </c>
      <c r="G34" s="25" t="s">
        <v>69</v>
      </c>
      <c r="H34" s="25" t="s">
        <v>69</v>
      </c>
      <c r="I34" s="25" t="s">
        <v>69</v>
      </c>
      <c r="J34" s="25" t="s">
        <v>69</v>
      </c>
      <c r="K34" s="25" t="s">
        <v>69</v>
      </c>
      <c r="L34" s="25" t="s">
        <v>69</v>
      </c>
      <c r="M34" s="25" t="s">
        <v>69</v>
      </c>
      <c r="N34" s="25" t="s">
        <v>69</v>
      </c>
      <c r="O34" s="25" t="s">
        <v>69</v>
      </c>
      <c r="P34" s="25" t="s">
        <v>69</v>
      </c>
      <c r="Q34" s="25" t="s">
        <v>69</v>
      </c>
      <c r="R34" s="25" t="s">
        <v>69</v>
      </c>
      <c r="S34" s="25" t="s">
        <v>69</v>
      </c>
      <c r="T34" s="25" t="s">
        <v>69</v>
      </c>
      <c r="U34" s="25" t="s">
        <v>69</v>
      </c>
      <c r="V34" s="25" t="s">
        <v>69</v>
      </c>
      <c r="W34" s="25" t="s">
        <v>69</v>
      </c>
      <c r="X34" s="25" t="s">
        <v>69</v>
      </c>
      <c r="Y34" s="25" t="s">
        <v>69</v>
      </c>
      <c r="Z34" s="25" t="s">
        <v>69</v>
      </c>
      <c r="AA34" s="25" t="s">
        <v>69</v>
      </c>
      <c r="AB34" s="25" t="s">
        <v>69</v>
      </c>
      <c r="AC34" s="25" t="s">
        <v>69</v>
      </c>
      <c r="AD34" s="25" t="s">
        <v>69</v>
      </c>
      <c r="AE34" s="25" t="s">
        <v>69</v>
      </c>
      <c r="AF34" s="25" t="s">
        <v>69</v>
      </c>
      <c r="AG34" s="25" t="s">
        <v>69</v>
      </c>
      <c r="AH34" s="31"/>
    </row>
    <row r="35" spans="1:34" ht="12" customHeight="1" x14ac:dyDescent="0.25">
      <c r="A35" s="16" t="s">
        <v>129</v>
      </c>
      <c r="B35" s="25" t="s">
        <v>69</v>
      </c>
      <c r="C35" s="25" t="s">
        <v>69</v>
      </c>
      <c r="D35" s="25" t="s">
        <v>69</v>
      </c>
      <c r="E35" s="25" t="s">
        <v>69</v>
      </c>
      <c r="F35" s="25" t="s">
        <v>69</v>
      </c>
      <c r="G35" s="25" t="s">
        <v>69</v>
      </c>
      <c r="H35" s="25" t="s">
        <v>69</v>
      </c>
      <c r="I35" s="25" t="s">
        <v>69</v>
      </c>
      <c r="J35" s="25" t="s">
        <v>69</v>
      </c>
      <c r="K35" s="25" t="s">
        <v>69</v>
      </c>
      <c r="L35" s="25" t="s">
        <v>69</v>
      </c>
      <c r="M35" s="25" t="s">
        <v>69</v>
      </c>
      <c r="N35" s="25" t="s">
        <v>69</v>
      </c>
      <c r="O35" s="25" t="s">
        <v>69</v>
      </c>
      <c r="P35" s="25" t="s">
        <v>69</v>
      </c>
      <c r="Q35" s="25" t="s">
        <v>69</v>
      </c>
      <c r="R35" s="25" t="s">
        <v>69</v>
      </c>
      <c r="S35" s="25" t="s">
        <v>69</v>
      </c>
      <c r="T35" s="25" t="s">
        <v>69</v>
      </c>
      <c r="U35" s="25" t="s">
        <v>69</v>
      </c>
      <c r="V35" s="25" t="s">
        <v>69</v>
      </c>
      <c r="W35" s="25" t="s">
        <v>69</v>
      </c>
      <c r="X35" s="25" t="s">
        <v>69</v>
      </c>
      <c r="Y35" s="25" t="s">
        <v>69</v>
      </c>
      <c r="Z35" s="25" t="s">
        <v>69</v>
      </c>
      <c r="AA35" s="25" t="s">
        <v>69</v>
      </c>
      <c r="AB35" s="25" t="s">
        <v>69</v>
      </c>
      <c r="AC35" s="25" t="s">
        <v>69</v>
      </c>
      <c r="AD35" s="25" t="s">
        <v>69</v>
      </c>
      <c r="AE35" s="25" t="s">
        <v>69</v>
      </c>
      <c r="AF35" s="25" t="s">
        <v>69</v>
      </c>
      <c r="AG35" s="25" t="s">
        <v>69</v>
      </c>
      <c r="AH35" s="31"/>
    </row>
    <row r="36" spans="1:34" ht="12" customHeight="1" x14ac:dyDescent="0.25">
      <c r="A36" s="16" t="s">
        <v>141</v>
      </c>
      <c r="B36" s="25" t="s">
        <v>69</v>
      </c>
      <c r="C36" s="25" t="s">
        <v>69</v>
      </c>
      <c r="D36" s="25" t="s">
        <v>69</v>
      </c>
      <c r="E36" s="25" t="s">
        <v>69</v>
      </c>
      <c r="F36" s="25" t="s">
        <v>69</v>
      </c>
      <c r="G36" s="25" t="s">
        <v>69</v>
      </c>
      <c r="H36" s="25" t="s">
        <v>69</v>
      </c>
      <c r="I36" s="25" t="s">
        <v>69</v>
      </c>
      <c r="J36" s="25" t="s">
        <v>69</v>
      </c>
      <c r="K36" s="25" t="s">
        <v>69</v>
      </c>
      <c r="L36" s="25" t="s">
        <v>69</v>
      </c>
      <c r="M36" s="25" t="s">
        <v>69</v>
      </c>
      <c r="N36" s="25" t="s">
        <v>69</v>
      </c>
      <c r="O36" s="25" t="s">
        <v>69</v>
      </c>
      <c r="P36" s="25" t="s">
        <v>69</v>
      </c>
      <c r="Q36" s="25" t="s">
        <v>69</v>
      </c>
      <c r="R36" s="25" t="s">
        <v>69</v>
      </c>
      <c r="S36" s="25" t="s">
        <v>69</v>
      </c>
      <c r="T36" s="25" t="s">
        <v>69</v>
      </c>
      <c r="U36" s="25" t="s">
        <v>69</v>
      </c>
      <c r="V36" s="25" t="s">
        <v>69</v>
      </c>
      <c r="W36" s="25" t="s">
        <v>69</v>
      </c>
      <c r="X36" s="25" t="s">
        <v>69</v>
      </c>
      <c r="Y36" s="25" t="s">
        <v>69</v>
      </c>
      <c r="Z36" s="25" t="s">
        <v>69</v>
      </c>
      <c r="AA36" s="25" t="s">
        <v>69</v>
      </c>
      <c r="AB36" s="25" t="s">
        <v>69</v>
      </c>
      <c r="AC36" s="25" t="s">
        <v>69</v>
      </c>
      <c r="AD36" s="25" t="s">
        <v>69</v>
      </c>
      <c r="AE36" s="25" t="s">
        <v>69</v>
      </c>
      <c r="AF36" s="25" t="s">
        <v>69</v>
      </c>
      <c r="AG36" s="25" t="s">
        <v>69</v>
      </c>
      <c r="AH36" s="31"/>
    </row>
    <row r="37" spans="1:34" ht="12.75" customHeight="1" x14ac:dyDescent="0.25">
      <c r="A37" s="16" t="s">
        <v>86</v>
      </c>
      <c r="B37" s="18" t="s">
        <v>65</v>
      </c>
      <c r="C37" s="18" t="s">
        <v>65</v>
      </c>
      <c r="D37" s="18" t="s">
        <v>65</v>
      </c>
      <c r="E37" s="18" t="s">
        <v>65</v>
      </c>
      <c r="F37" s="18" t="s">
        <v>65</v>
      </c>
      <c r="G37" s="18" t="s">
        <v>65</v>
      </c>
      <c r="H37" s="18" t="s">
        <v>65</v>
      </c>
      <c r="I37" s="18" t="s">
        <v>65</v>
      </c>
      <c r="J37" s="18" t="s">
        <v>65</v>
      </c>
      <c r="K37" s="18" t="s">
        <v>65</v>
      </c>
      <c r="L37" s="18" t="s">
        <v>65</v>
      </c>
      <c r="M37" s="18" t="s">
        <v>65</v>
      </c>
      <c r="N37" s="18" t="s">
        <v>65</v>
      </c>
      <c r="O37" s="18" t="s">
        <v>65</v>
      </c>
      <c r="P37" s="18" t="s">
        <v>65</v>
      </c>
      <c r="Q37" s="18" t="s">
        <v>65</v>
      </c>
      <c r="R37" s="18" t="s">
        <v>65</v>
      </c>
      <c r="S37" s="18" t="s">
        <v>65</v>
      </c>
      <c r="T37" s="18" t="s">
        <v>65</v>
      </c>
      <c r="U37" s="18" t="s">
        <v>65</v>
      </c>
      <c r="V37" s="18" t="s">
        <v>65</v>
      </c>
      <c r="W37" s="18" t="s">
        <v>65</v>
      </c>
      <c r="X37" s="18" t="s">
        <v>65</v>
      </c>
      <c r="Y37" s="18" t="s">
        <v>65</v>
      </c>
      <c r="Z37" s="18" t="s">
        <v>65</v>
      </c>
      <c r="AA37" s="18" t="s">
        <v>65</v>
      </c>
      <c r="AB37" s="18" t="s">
        <v>65</v>
      </c>
      <c r="AC37" s="19" t="s">
        <v>65</v>
      </c>
      <c r="AD37" s="19" t="s">
        <v>65</v>
      </c>
      <c r="AE37" s="19" t="s">
        <v>65</v>
      </c>
      <c r="AF37" s="19" t="s">
        <v>65</v>
      </c>
      <c r="AG37" s="18">
        <v>0</v>
      </c>
      <c r="AH37" s="31"/>
    </row>
    <row r="38" spans="1:34" ht="12.75" customHeight="1" x14ac:dyDescent="0.25">
      <c r="A38" s="22" t="s">
        <v>135</v>
      </c>
      <c r="B38" s="14">
        <v>0.48919259752677002</v>
      </c>
      <c r="C38" s="14">
        <v>0.48919259752677002</v>
      </c>
      <c r="D38" s="14">
        <v>0.55598540134546004</v>
      </c>
      <c r="E38" s="14">
        <v>0.43636105611525</v>
      </c>
      <c r="F38" s="14">
        <v>0.48303772337999001</v>
      </c>
      <c r="G38" s="14">
        <v>0.51521915264050999</v>
      </c>
      <c r="H38" s="14">
        <v>0.64828971587631001</v>
      </c>
      <c r="I38" s="14">
        <v>0.62721013398240999</v>
      </c>
      <c r="J38" s="14">
        <v>0.68029195708263002</v>
      </c>
      <c r="K38" s="14">
        <v>0.64472069835135004</v>
      </c>
      <c r="L38" s="14">
        <v>0.61968637318308994</v>
      </c>
      <c r="M38" s="14">
        <v>0.68416136768864</v>
      </c>
      <c r="N38" s="14">
        <v>0.92553367839824996</v>
      </c>
      <c r="O38" s="14">
        <v>0.87664564943073997</v>
      </c>
      <c r="P38" s="14">
        <v>1.05113247706597</v>
      </c>
      <c r="Q38" s="14">
        <v>0.91477460745572003</v>
      </c>
      <c r="R38" s="14">
        <v>0.96345478687859998</v>
      </c>
      <c r="S38" s="14">
        <v>0.99601592278378004</v>
      </c>
      <c r="T38" s="14">
        <v>1.00279179608326</v>
      </c>
      <c r="U38" s="14">
        <v>1.0957560130130599</v>
      </c>
      <c r="V38" s="14">
        <v>1.18671071372096</v>
      </c>
      <c r="W38" s="14">
        <v>1.5572846178987401</v>
      </c>
      <c r="X38" s="14">
        <v>1.37273613200448</v>
      </c>
      <c r="Y38" s="14">
        <v>1.3283912208080899</v>
      </c>
      <c r="Z38" s="14">
        <v>1.44355374431768</v>
      </c>
      <c r="AA38" s="14">
        <v>1.57818607284956</v>
      </c>
      <c r="AB38" s="14">
        <v>1.4245449802977399</v>
      </c>
      <c r="AC38" s="14">
        <v>1.3367869632848399</v>
      </c>
      <c r="AD38" s="14">
        <v>1.5503172662292899</v>
      </c>
      <c r="AE38" s="14">
        <v>1.3603319710575399</v>
      </c>
      <c r="AF38" s="14">
        <v>1.33450291237642</v>
      </c>
      <c r="AG38" s="14">
        <v>172.79703722487201</v>
      </c>
      <c r="AH38" s="31"/>
    </row>
    <row r="39" spans="1:34" ht="12.75" customHeight="1" x14ac:dyDescent="0.25">
      <c r="A39" s="16" t="s">
        <v>88</v>
      </c>
      <c r="B39" s="18">
        <v>0.31160909107030998</v>
      </c>
      <c r="C39" s="18">
        <v>0.31160909107030998</v>
      </c>
      <c r="D39" s="18">
        <v>0.32935618049687998</v>
      </c>
      <c r="E39" s="18">
        <v>0.34228658795546002</v>
      </c>
      <c r="F39" s="18">
        <v>0.35709455009504998</v>
      </c>
      <c r="G39" s="18">
        <v>0.37037264311916002</v>
      </c>
      <c r="H39" s="18">
        <v>0.39923905583870001</v>
      </c>
      <c r="I39" s="18">
        <v>0.41459833068072</v>
      </c>
      <c r="J39" s="18">
        <v>0.41633199185922998</v>
      </c>
      <c r="K39" s="18">
        <v>0.42774369635344001</v>
      </c>
      <c r="L39" s="18">
        <v>0.43932952359490002</v>
      </c>
      <c r="M39" s="18">
        <v>0.45583675747955998</v>
      </c>
      <c r="N39" s="18">
        <v>0.47608059085517002</v>
      </c>
      <c r="O39" s="18">
        <v>0.48531546193521002</v>
      </c>
      <c r="P39" s="18">
        <v>0.49818584603643001</v>
      </c>
      <c r="Q39" s="18">
        <v>0.50470616669923996</v>
      </c>
      <c r="R39" s="18">
        <v>0.51128034659840005</v>
      </c>
      <c r="S39" s="18">
        <v>0.52577018156144995</v>
      </c>
      <c r="T39" s="18">
        <v>0.53628350121857005</v>
      </c>
      <c r="U39" s="18">
        <v>0.54410039463382998</v>
      </c>
      <c r="V39" s="18">
        <v>0.55112230679027996</v>
      </c>
      <c r="W39" s="18">
        <v>0.56844215387243002</v>
      </c>
      <c r="X39" s="18">
        <v>0.57511869843115004</v>
      </c>
      <c r="Y39" s="18">
        <v>0.57261821071003005</v>
      </c>
      <c r="Z39" s="18">
        <v>0.57488810460766004</v>
      </c>
      <c r="AA39" s="18">
        <v>0.57640377417773003</v>
      </c>
      <c r="AB39" s="18">
        <v>0.58497255990295005</v>
      </c>
      <c r="AC39" s="19">
        <v>0.58935256092609001</v>
      </c>
      <c r="AD39" s="19">
        <v>0.60929550778917996</v>
      </c>
      <c r="AE39" s="19">
        <v>0.60778602037925999</v>
      </c>
      <c r="AF39" s="19">
        <v>0.61114526534596003</v>
      </c>
      <c r="AG39" s="18">
        <v>96.125621125753</v>
      </c>
      <c r="AH39" s="31"/>
    </row>
    <row r="40" spans="1:34" ht="12.75" customHeight="1" x14ac:dyDescent="0.25">
      <c r="A40" s="16" t="s">
        <v>89</v>
      </c>
      <c r="B40" s="18">
        <v>4.9025340780000002E-5</v>
      </c>
      <c r="C40" s="18">
        <v>4.9025340780000002E-5</v>
      </c>
      <c r="D40" s="18">
        <v>3.1507288420000002E-5</v>
      </c>
      <c r="E40" s="18">
        <v>2.025288499E-5</v>
      </c>
      <c r="F40" s="18">
        <v>4.0833445790000001E-5</v>
      </c>
      <c r="G40" s="18">
        <v>4.6882845159999998E-5</v>
      </c>
      <c r="H40" s="18">
        <v>6.4022810059999999E-5</v>
      </c>
      <c r="I40" s="18">
        <v>7.1206471820000003E-5</v>
      </c>
      <c r="J40" s="18">
        <v>3.8943008480000003E-5</v>
      </c>
      <c r="K40" s="18">
        <v>2.054275205E-5</v>
      </c>
      <c r="L40" s="18">
        <v>1.6761877439999999E-5</v>
      </c>
      <c r="M40" s="18">
        <v>4.2093737320000002E-5</v>
      </c>
      <c r="N40" s="18">
        <v>3.7295999999999998E-4</v>
      </c>
      <c r="O40" s="18">
        <v>3.7484999999999998E-5</v>
      </c>
      <c r="P40" s="18">
        <v>1.8880000000000001E-4</v>
      </c>
      <c r="Q40" s="18">
        <v>4.1066666666999998E-4</v>
      </c>
      <c r="R40" s="18">
        <v>8.6500000000000002E-5</v>
      </c>
      <c r="S40" s="18">
        <v>1.5999999999999999E-5</v>
      </c>
      <c r="T40" s="18" t="s">
        <v>136</v>
      </c>
      <c r="U40" s="18">
        <v>1.53188E-5</v>
      </c>
      <c r="V40" s="18">
        <v>8.6508800000000008E-6</v>
      </c>
      <c r="W40" s="18">
        <v>1.4929747369999999E-5</v>
      </c>
      <c r="X40" s="18" t="s">
        <v>136</v>
      </c>
      <c r="Y40" s="18">
        <v>2.2166666699999999E-6</v>
      </c>
      <c r="Z40" s="18" t="s">
        <v>136</v>
      </c>
      <c r="AA40" s="18" t="s">
        <v>136</v>
      </c>
      <c r="AB40" s="18" t="s">
        <v>136</v>
      </c>
      <c r="AC40" s="19" t="s">
        <v>136</v>
      </c>
      <c r="AD40" s="19" t="s">
        <v>136</v>
      </c>
      <c r="AE40" s="19">
        <v>1.4736842110000001E-5</v>
      </c>
      <c r="AF40" s="19">
        <v>1.4E-5</v>
      </c>
      <c r="AG40" s="18">
        <v>-71.443339756016002</v>
      </c>
      <c r="AH40" s="31"/>
    </row>
    <row r="41" spans="1:34" ht="12.75" customHeight="1" x14ac:dyDescent="0.25">
      <c r="A41" s="16" t="s">
        <v>90</v>
      </c>
      <c r="B41" s="18">
        <v>5.1871604904829997E-2</v>
      </c>
      <c r="C41" s="18">
        <v>5.1871604904829997E-2</v>
      </c>
      <c r="D41" s="18">
        <v>0.12663388036984</v>
      </c>
      <c r="E41" s="18">
        <v>4.93215519622E-3</v>
      </c>
      <c r="F41" s="18">
        <v>9.8354631767900002E-3</v>
      </c>
      <c r="G41" s="18">
        <v>1.132187398735E-2</v>
      </c>
      <c r="H41" s="18">
        <v>8.0690065130229999E-2</v>
      </c>
      <c r="I41" s="18">
        <v>2.287042310466E-2</v>
      </c>
      <c r="J41" s="18">
        <v>0.10660912236087</v>
      </c>
      <c r="K41" s="18">
        <v>7.3473558409849996E-2</v>
      </c>
      <c r="L41" s="18">
        <v>3.1831568945069999E-2</v>
      </c>
      <c r="M41" s="18">
        <v>2.791046106532E-2</v>
      </c>
      <c r="N41" s="18">
        <v>4.901792119152E-2</v>
      </c>
      <c r="O41" s="18">
        <v>0.16807830976532001</v>
      </c>
      <c r="P41" s="18">
        <v>0.12984333856281999</v>
      </c>
      <c r="Q41" s="18">
        <v>5.3001334739269997E-2</v>
      </c>
      <c r="R41" s="18">
        <v>5.1422439131390003E-2</v>
      </c>
      <c r="S41" s="18">
        <v>4.6748331991369997E-2</v>
      </c>
      <c r="T41" s="18">
        <v>6.5641456473269993E-2</v>
      </c>
      <c r="U41" s="18">
        <v>9.3873856746289994E-2</v>
      </c>
      <c r="V41" s="18">
        <v>0.12440252488233</v>
      </c>
      <c r="W41" s="18">
        <v>0.26707191024686999</v>
      </c>
      <c r="X41" s="18">
        <v>0.27196444116370999</v>
      </c>
      <c r="Y41" s="18">
        <v>0.30836623054360002</v>
      </c>
      <c r="Z41" s="18">
        <v>0.36498551224010001</v>
      </c>
      <c r="AA41" s="18">
        <v>0.37493815870656</v>
      </c>
      <c r="AB41" s="18">
        <v>0.35438225538342</v>
      </c>
      <c r="AC41" s="19">
        <v>0.29936497786723998</v>
      </c>
      <c r="AD41" s="19">
        <v>0.30335457003448002</v>
      </c>
      <c r="AE41" s="19">
        <v>0.27418004470305002</v>
      </c>
      <c r="AF41" s="19">
        <v>0.25671673877350998</v>
      </c>
      <c r="AG41" s="18">
        <v>394.90803156083899</v>
      </c>
      <c r="AH41" s="31"/>
    </row>
    <row r="42" spans="1:34" ht="12.75" customHeight="1" x14ac:dyDescent="0.25">
      <c r="A42" s="16" t="s">
        <v>91</v>
      </c>
      <c r="B42" s="18">
        <v>0.10429048088333</v>
      </c>
      <c r="C42" s="18">
        <v>0.10429048088333</v>
      </c>
      <c r="D42" s="18">
        <v>7.9793633903379999E-2</v>
      </c>
      <c r="E42" s="18">
        <v>6.4085240189439993E-2</v>
      </c>
      <c r="F42" s="18">
        <v>9.2822439268190005E-2</v>
      </c>
      <c r="G42" s="18">
        <v>0.10036307339254</v>
      </c>
      <c r="H42" s="18">
        <v>0.12492864530394</v>
      </c>
      <c r="I42" s="18">
        <v>0.13457290436224001</v>
      </c>
      <c r="J42" s="18">
        <v>9.0945283935790003E-2</v>
      </c>
      <c r="K42" s="18">
        <v>6.5523771467030006E-2</v>
      </c>
      <c r="L42" s="18">
        <v>5.8958096190400003E-2</v>
      </c>
      <c r="M42" s="18">
        <v>9.3821517353299994E-2</v>
      </c>
      <c r="N42" s="18">
        <v>0.25104363885425002</v>
      </c>
      <c r="O42" s="18">
        <v>5.0092021418420001E-2</v>
      </c>
      <c r="P42" s="18">
        <v>0.20808959500547999</v>
      </c>
      <c r="Q42" s="18">
        <v>0.10923036695268</v>
      </c>
      <c r="R42" s="18">
        <v>0.11677698713284</v>
      </c>
      <c r="S42" s="18">
        <v>9.2313595735999995E-2</v>
      </c>
      <c r="T42" s="18">
        <v>6.7148045610019996E-2</v>
      </c>
      <c r="U42" s="18">
        <v>5.3102268293590001E-2</v>
      </c>
      <c r="V42" s="18">
        <v>5.2849230201539997E-2</v>
      </c>
      <c r="W42" s="18">
        <v>0.26170491130850998</v>
      </c>
      <c r="X42" s="18">
        <v>0.11154229807920001</v>
      </c>
      <c r="Y42" s="18">
        <v>3.699325888643E-2</v>
      </c>
      <c r="Z42" s="18">
        <v>9.1214235317010006E-2</v>
      </c>
      <c r="AA42" s="18">
        <v>0.22100153646453</v>
      </c>
      <c r="AB42" s="18">
        <v>8.2665981804909999E-2</v>
      </c>
      <c r="AC42" s="19">
        <v>5.2397172567239997E-2</v>
      </c>
      <c r="AD42" s="19">
        <v>0.24032691972219999</v>
      </c>
      <c r="AE42" s="19">
        <v>8.4034011703309999E-2</v>
      </c>
      <c r="AF42" s="19">
        <v>6.4753424667660001E-2</v>
      </c>
      <c r="AG42" s="18">
        <v>-37.910512906637997</v>
      </c>
      <c r="AH42" s="31"/>
    </row>
    <row r="43" spans="1:34" ht="12" customHeight="1" x14ac:dyDescent="0.25">
      <c r="A43" s="16" t="s">
        <v>92</v>
      </c>
      <c r="B43" s="18">
        <v>2.1118871518000001E-2</v>
      </c>
      <c r="C43" s="18">
        <v>2.1118871518000001E-2</v>
      </c>
      <c r="D43" s="18">
        <v>1.966315166789E-2</v>
      </c>
      <c r="E43" s="18">
        <v>2.4276248460569999E-2</v>
      </c>
      <c r="F43" s="18">
        <v>2.2230342156070001E-2</v>
      </c>
      <c r="G43" s="18">
        <v>3.1847060248679997E-2</v>
      </c>
      <c r="H43" s="18">
        <v>3.4425450602899997E-2</v>
      </c>
      <c r="I43" s="18">
        <v>3.8479936029639998E-2</v>
      </c>
      <c r="J43" s="18">
        <v>4.2074425442069997E-2</v>
      </c>
      <c r="K43" s="18">
        <v>4.5992081749929997E-2</v>
      </c>
      <c r="L43" s="18">
        <v>4.9908517813380002E-2</v>
      </c>
      <c r="M43" s="18">
        <v>6.0293966624569997E-2</v>
      </c>
      <c r="N43" s="18">
        <v>9.6147329402070006E-2</v>
      </c>
      <c r="O43" s="18">
        <v>0.11363646654989</v>
      </c>
      <c r="P43" s="18">
        <v>0.14872432603267</v>
      </c>
      <c r="Q43" s="18">
        <v>0.17471083430261999</v>
      </c>
      <c r="R43" s="18">
        <v>0.20455860925406999</v>
      </c>
      <c r="S43" s="18">
        <v>0.20574267063782001</v>
      </c>
      <c r="T43" s="18">
        <v>0.20829364992426</v>
      </c>
      <c r="U43" s="18">
        <v>0.23314379358696999</v>
      </c>
      <c r="V43" s="18">
        <v>0.28680762001443</v>
      </c>
      <c r="W43" s="18">
        <v>0.28878385558070002</v>
      </c>
      <c r="X43" s="18">
        <v>0.24309736099709001</v>
      </c>
      <c r="Y43" s="18">
        <v>0.23965149447754999</v>
      </c>
      <c r="Z43" s="18">
        <v>0.24195960643862</v>
      </c>
      <c r="AA43" s="18">
        <v>0.23533631778645001</v>
      </c>
      <c r="AB43" s="18">
        <v>0.23994627844456001</v>
      </c>
      <c r="AC43" s="19">
        <v>0.24076920430522</v>
      </c>
      <c r="AD43" s="19">
        <v>0.25011207820724002</v>
      </c>
      <c r="AE43" s="19">
        <v>0.25476382442980999</v>
      </c>
      <c r="AF43" s="19">
        <v>0.26997656930357999</v>
      </c>
      <c r="AG43" s="18">
        <v>1178.3664556767351</v>
      </c>
      <c r="AH43" s="31"/>
    </row>
    <row r="44" spans="1:34" ht="12" customHeight="1" x14ac:dyDescent="0.25">
      <c r="A44" s="16" t="s">
        <v>93</v>
      </c>
      <c r="B44" s="18">
        <v>2.5352380951999999E-4</v>
      </c>
      <c r="C44" s="18">
        <v>2.5352380951999999E-4</v>
      </c>
      <c r="D44" s="18">
        <v>5.0704761905000001E-4</v>
      </c>
      <c r="E44" s="18">
        <v>7.6057142857000005E-4</v>
      </c>
      <c r="F44" s="18">
        <v>1.0140952381E-3</v>
      </c>
      <c r="G44" s="18">
        <v>1.26761904762E-3</v>
      </c>
      <c r="H44" s="18">
        <v>8.9424761904799994E-3</v>
      </c>
      <c r="I44" s="18">
        <v>1.6617333333330001E-2</v>
      </c>
      <c r="J44" s="18">
        <v>2.4292190476189999E-2</v>
      </c>
      <c r="K44" s="18">
        <v>3.1967047619049997E-2</v>
      </c>
      <c r="L44" s="18">
        <v>3.96419047619E-2</v>
      </c>
      <c r="M44" s="18">
        <v>4.6256571428570002E-2</v>
      </c>
      <c r="N44" s="18">
        <v>5.2871238095239997E-2</v>
      </c>
      <c r="O44" s="18">
        <v>5.9485904761900001E-2</v>
      </c>
      <c r="P44" s="18">
        <v>6.6100571428569996E-2</v>
      </c>
      <c r="Q44" s="18">
        <v>7.2715238095239998E-2</v>
      </c>
      <c r="R44" s="18">
        <v>7.9329904761899994E-2</v>
      </c>
      <c r="S44" s="18">
        <v>0.12542514285713999</v>
      </c>
      <c r="T44" s="18">
        <v>0.12542514285713999</v>
      </c>
      <c r="U44" s="18">
        <v>0.17152038095238001</v>
      </c>
      <c r="V44" s="18">
        <v>0.17152038095238001</v>
      </c>
      <c r="W44" s="18">
        <v>0.17126685714286</v>
      </c>
      <c r="X44" s="18">
        <v>0.17101333333332999</v>
      </c>
      <c r="Y44" s="18">
        <v>0.17075980952381001</v>
      </c>
      <c r="Z44" s="18">
        <v>0.17050628571429</v>
      </c>
      <c r="AA44" s="18">
        <v>0.17050628571429</v>
      </c>
      <c r="AB44" s="18">
        <v>0.16257790476190001</v>
      </c>
      <c r="AC44" s="19">
        <v>0.15490304761904999</v>
      </c>
      <c r="AD44" s="19">
        <v>0.14722819047619001</v>
      </c>
      <c r="AE44" s="19">
        <v>0.139553333</v>
      </c>
      <c r="AF44" s="19">
        <v>0.13189691428570999</v>
      </c>
      <c r="AG44" s="18">
        <v>51925.454546234607</v>
      </c>
      <c r="AH44" s="31"/>
    </row>
    <row r="45" spans="1:34" ht="12" customHeight="1" x14ac:dyDescent="0.25">
      <c r="A45" s="16" t="s">
        <v>94</v>
      </c>
      <c r="B45" s="25" t="s">
        <v>69</v>
      </c>
      <c r="C45" s="25" t="s">
        <v>69</v>
      </c>
      <c r="D45" s="25" t="s">
        <v>69</v>
      </c>
      <c r="E45" s="25" t="s">
        <v>69</v>
      </c>
      <c r="F45" s="25" t="s">
        <v>69</v>
      </c>
      <c r="G45" s="25" t="s">
        <v>69</v>
      </c>
      <c r="H45" s="25" t="s">
        <v>69</v>
      </c>
      <c r="I45" s="25" t="s">
        <v>69</v>
      </c>
      <c r="J45" s="25" t="s">
        <v>69</v>
      </c>
      <c r="K45" s="25" t="s">
        <v>69</v>
      </c>
      <c r="L45" s="25" t="s">
        <v>69</v>
      </c>
      <c r="M45" s="25" t="s">
        <v>69</v>
      </c>
      <c r="N45" s="25" t="s">
        <v>69</v>
      </c>
      <c r="O45" s="25" t="s">
        <v>69</v>
      </c>
      <c r="P45" s="25" t="s">
        <v>69</v>
      </c>
      <c r="Q45" s="25" t="s">
        <v>69</v>
      </c>
      <c r="R45" s="25" t="s">
        <v>69</v>
      </c>
      <c r="S45" s="25" t="s">
        <v>69</v>
      </c>
      <c r="T45" s="25" t="s">
        <v>69</v>
      </c>
      <c r="U45" s="25" t="s">
        <v>69</v>
      </c>
      <c r="V45" s="25" t="s">
        <v>69</v>
      </c>
      <c r="W45" s="25" t="s">
        <v>69</v>
      </c>
      <c r="X45" s="25" t="s">
        <v>69</v>
      </c>
      <c r="Y45" s="25" t="s">
        <v>69</v>
      </c>
      <c r="Z45" s="25" t="s">
        <v>69</v>
      </c>
      <c r="AA45" s="25" t="s">
        <v>69</v>
      </c>
      <c r="AB45" s="25" t="s">
        <v>69</v>
      </c>
      <c r="AC45" s="25" t="s">
        <v>69</v>
      </c>
      <c r="AD45" s="25" t="s">
        <v>69</v>
      </c>
      <c r="AE45" s="25" t="s">
        <v>69</v>
      </c>
      <c r="AF45" s="25" t="s">
        <v>69</v>
      </c>
      <c r="AG45" s="25" t="s">
        <v>69</v>
      </c>
      <c r="AH45" s="31"/>
    </row>
    <row r="46" spans="1:34" ht="12" customHeight="1" x14ac:dyDescent="0.25">
      <c r="A46" s="16" t="s">
        <v>131</v>
      </c>
      <c r="B46" s="18" t="s">
        <v>65</v>
      </c>
      <c r="C46" s="18" t="s">
        <v>65</v>
      </c>
      <c r="D46" s="18" t="s">
        <v>65</v>
      </c>
      <c r="E46" s="18" t="s">
        <v>65</v>
      </c>
      <c r="F46" s="18" t="s">
        <v>65</v>
      </c>
      <c r="G46" s="18" t="s">
        <v>65</v>
      </c>
      <c r="H46" s="18" t="s">
        <v>65</v>
      </c>
      <c r="I46" s="18" t="s">
        <v>65</v>
      </c>
      <c r="J46" s="18" t="s">
        <v>65</v>
      </c>
      <c r="K46" s="18" t="s">
        <v>65</v>
      </c>
      <c r="L46" s="18" t="s">
        <v>65</v>
      </c>
      <c r="M46" s="18" t="s">
        <v>65</v>
      </c>
      <c r="N46" s="18" t="s">
        <v>65</v>
      </c>
      <c r="O46" s="18" t="s">
        <v>65</v>
      </c>
      <c r="P46" s="18" t="s">
        <v>65</v>
      </c>
      <c r="Q46" s="18" t="s">
        <v>65</v>
      </c>
      <c r="R46" s="18" t="s">
        <v>65</v>
      </c>
      <c r="S46" s="18" t="s">
        <v>65</v>
      </c>
      <c r="T46" s="18" t="s">
        <v>65</v>
      </c>
      <c r="U46" s="18" t="s">
        <v>65</v>
      </c>
      <c r="V46" s="18" t="s">
        <v>65</v>
      </c>
      <c r="W46" s="18" t="s">
        <v>65</v>
      </c>
      <c r="X46" s="18" t="s">
        <v>65</v>
      </c>
      <c r="Y46" s="18" t="s">
        <v>65</v>
      </c>
      <c r="Z46" s="18" t="s">
        <v>65</v>
      </c>
      <c r="AA46" s="18" t="s">
        <v>65</v>
      </c>
      <c r="AB46" s="18" t="s">
        <v>65</v>
      </c>
      <c r="AC46" s="19" t="s">
        <v>65</v>
      </c>
      <c r="AD46" s="19" t="s">
        <v>65</v>
      </c>
      <c r="AE46" s="19" t="s">
        <v>65</v>
      </c>
      <c r="AF46" s="19" t="s">
        <v>65</v>
      </c>
      <c r="AG46" s="18">
        <v>0</v>
      </c>
      <c r="AH46" s="31"/>
    </row>
    <row r="47" spans="1:34" ht="12" customHeight="1" x14ac:dyDescent="0.25">
      <c r="A47" s="15" t="s">
        <v>96</v>
      </c>
      <c r="B47" s="14">
        <v>0.25584233789623001</v>
      </c>
      <c r="C47" s="14">
        <v>0.25584233789623001</v>
      </c>
      <c r="D47" s="14">
        <v>0.25506935847911</v>
      </c>
      <c r="E47" s="14">
        <v>0.25941424148192999</v>
      </c>
      <c r="F47" s="14">
        <v>0.25861749915643001</v>
      </c>
      <c r="G47" s="14">
        <v>0.25271157807709999</v>
      </c>
      <c r="H47" s="14">
        <v>0.24926874810659999</v>
      </c>
      <c r="I47" s="14">
        <v>0.25095394162390999</v>
      </c>
      <c r="J47" s="14">
        <v>0.25533510104055002</v>
      </c>
      <c r="K47" s="14">
        <v>0.26441111784671001</v>
      </c>
      <c r="L47" s="14">
        <v>0.27470030374561999</v>
      </c>
      <c r="M47" s="14">
        <v>0.28080996731147001</v>
      </c>
      <c r="N47" s="14">
        <v>0.29575892829620998</v>
      </c>
      <c r="O47" s="14">
        <v>0.30586288604860001</v>
      </c>
      <c r="P47" s="14">
        <v>0.31598147058926002</v>
      </c>
      <c r="Q47" s="14">
        <v>0.31472709037581997</v>
      </c>
      <c r="R47" s="14">
        <v>0.32477577084620002</v>
      </c>
      <c r="S47" s="14">
        <v>0.32915371342647998</v>
      </c>
      <c r="T47" s="14">
        <v>0.32955464314980998</v>
      </c>
      <c r="U47" s="14">
        <v>0.33950564985582998</v>
      </c>
      <c r="V47" s="14">
        <v>0.3465622176757</v>
      </c>
      <c r="W47" s="14">
        <v>0.38292185887060998</v>
      </c>
      <c r="X47" s="14">
        <v>0.38689181183663002</v>
      </c>
      <c r="Y47" s="14">
        <v>0.37686380370797001</v>
      </c>
      <c r="Z47" s="14">
        <v>0.37958276028361998</v>
      </c>
      <c r="AA47" s="14">
        <v>0.38057090107753999</v>
      </c>
      <c r="AB47" s="14">
        <v>0.36936791302499</v>
      </c>
      <c r="AC47" s="14">
        <v>0.38360713203376001</v>
      </c>
      <c r="AD47" s="14">
        <v>0.38811325358706</v>
      </c>
      <c r="AE47" s="14">
        <v>0.38713418703894997</v>
      </c>
      <c r="AF47" s="14">
        <v>0.39521465822152002</v>
      </c>
      <c r="AG47" s="14">
        <v>54.475862545401</v>
      </c>
      <c r="AH47" s="31"/>
    </row>
    <row r="48" spans="1:34" ht="12" customHeight="1" x14ac:dyDescent="0.25">
      <c r="A48" s="16" t="s">
        <v>97</v>
      </c>
      <c r="B48" s="25" t="s">
        <v>69</v>
      </c>
      <c r="C48" s="25" t="s">
        <v>69</v>
      </c>
      <c r="D48" s="25" t="s">
        <v>69</v>
      </c>
      <c r="E48" s="25" t="s">
        <v>69</v>
      </c>
      <c r="F48" s="25" t="s">
        <v>69</v>
      </c>
      <c r="G48" s="25" t="s">
        <v>69</v>
      </c>
      <c r="H48" s="25" t="s">
        <v>69</v>
      </c>
      <c r="I48" s="25" t="s">
        <v>69</v>
      </c>
      <c r="J48" s="25" t="s">
        <v>69</v>
      </c>
      <c r="K48" s="25" t="s">
        <v>69</v>
      </c>
      <c r="L48" s="25" t="s">
        <v>69</v>
      </c>
      <c r="M48" s="25" t="s">
        <v>69</v>
      </c>
      <c r="N48" s="25" t="s">
        <v>69</v>
      </c>
      <c r="O48" s="25" t="s">
        <v>69</v>
      </c>
      <c r="P48" s="25" t="s">
        <v>69</v>
      </c>
      <c r="Q48" s="25" t="s">
        <v>69</v>
      </c>
      <c r="R48" s="25" t="s">
        <v>69</v>
      </c>
      <c r="S48" s="25" t="s">
        <v>69</v>
      </c>
      <c r="T48" s="25" t="s">
        <v>69</v>
      </c>
      <c r="U48" s="25" t="s">
        <v>69</v>
      </c>
      <c r="V48" s="25" t="s">
        <v>69</v>
      </c>
      <c r="W48" s="25" t="s">
        <v>69</v>
      </c>
      <c r="X48" s="25" t="s">
        <v>69</v>
      </c>
      <c r="Y48" s="25" t="s">
        <v>69</v>
      </c>
      <c r="Z48" s="25" t="s">
        <v>69</v>
      </c>
      <c r="AA48" s="25" t="s">
        <v>69</v>
      </c>
      <c r="AB48" s="25" t="s">
        <v>69</v>
      </c>
      <c r="AC48" s="25" t="s">
        <v>69</v>
      </c>
      <c r="AD48" s="25" t="s">
        <v>69</v>
      </c>
      <c r="AE48" s="25" t="s">
        <v>69</v>
      </c>
      <c r="AF48" s="25" t="s">
        <v>69</v>
      </c>
      <c r="AG48" s="25" t="s">
        <v>69</v>
      </c>
      <c r="AH48" s="31"/>
    </row>
    <row r="49" spans="1:34" ht="12" customHeight="1" x14ac:dyDescent="0.25">
      <c r="A49" s="16" t="s">
        <v>98</v>
      </c>
      <c r="B49" s="18" t="s">
        <v>65</v>
      </c>
      <c r="C49" s="18" t="s">
        <v>65</v>
      </c>
      <c r="D49" s="18" t="s">
        <v>65</v>
      </c>
      <c r="E49" s="18" t="s">
        <v>65</v>
      </c>
      <c r="F49" s="18" t="s">
        <v>65</v>
      </c>
      <c r="G49" s="18" t="s">
        <v>65</v>
      </c>
      <c r="H49" s="18" t="s">
        <v>65</v>
      </c>
      <c r="I49" s="18" t="s">
        <v>65</v>
      </c>
      <c r="J49" s="18" t="s">
        <v>65</v>
      </c>
      <c r="K49" s="18" t="s">
        <v>65</v>
      </c>
      <c r="L49" s="18" t="s">
        <v>65</v>
      </c>
      <c r="M49" s="18" t="s">
        <v>65</v>
      </c>
      <c r="N49" s="18">
        <v>5.3359200000000001E-3</v>
      </c>
      <c r="O49" s="18">
        <v>8.1631199999999994E-3</v>
      </c>
      <c r="P49" s="18">
        <v>1.135392E-2</v>
      </c>
      <c r="Q49" s="18">
        <v>1.189872E-2</v>
      </c>
      <c r="R49" s="18">
        <v>1.9264799999999999E-2</v>
      </c>
      <c r="S49" s="18">
        <v>1.9172160000000001E-2</v>
      </c>
      <c r="T49" s="18">
        <v>1.7468640000000001E-2</v>
      </c>
      <c r="U49" s="18">
        <v>2.3004480000000001E-2</v>
      </c>
      <c r="V49" s="18">
        <v>2.9486160000000001E-2</v>
      </c>
      <c r="W49" s="18">
        <v>6.4607999999999999E-2</v>
      </c>
      <c r="X49" s="18">
        <v>7.3355519999999994E-2</v>
      </c>
      <c r="Y49" s="18">
        <v>6.271272E-2</v>
      </c>
      <c r="Z49" s="18">
        <v>6.5040000000000001E-2</v>
      </c>
      <c r="AA49" s="18">
        <v>6.5040000000000001E-2</v>
      </c>
      <c r="AB49" s="18">
        <v>5.2052820333930001E-2</v>
      </c>
      <c r="AC49" s="19">
        <v>5.8261885487920002E-2</v>
      </c>
      <c r="AD49" s="19">
        <v>6.1138208364959999E-2</v>
      </c>
      <c r="AE49" s="19">
        <v>5.8728384540599997E-2</v>
      </c>
      <c r="AF49" s="19">
        <v>5.8728384540599997E-2</v>
      </c>
      <c r="AG49" s="18">
        <v>100</v>
      </c>
      <c r="AH49" s="31"/>
    </row>
    <row r="50" spans="1:34" ht="12" customHeight="1" x14ac:dyDescent="0.25">
      <c r="A50" s="16" t="s">
        <v>99</v>
      </c>
      <c r="B50" s="18">
        <v>3.6846679248E-3</v>
      </c>
      <c r="C50" s="18">
        <v>3.6846679248E-3</v>
      </c>
      <c r="D50" s="18">
        <v>3.70482881482E-3</v>
      </c>
      <c r="E50" s="18">
        <v>3.7537822676399998E-3</v>
      </c>
      <c r="F50" s="18">
        <v>3.8022949492899998E-3</v>
      </c>
      <c r="G50" s="18">
        <v>3.8424340056700001E-3</v>
      </c>
      <c r="H50" s="18">
        <v>3.8751371637400001E-3</v>
      </c>
      <c r="I50" s="18">
        <v>3.87045159534E-3</v>
      </c>
      <c r="J50" s="18">
        <v>3.3367405334100001E-3</v>
      </c>
      <c r="K50" s="18">
        <v>2.73525944671E-3</v>
      </c>
      <c r="L50" s="18">
        <v>3.2218343170500002E-3</v>
      </c>
      <c r="M50" s="18">
        <v>3.46512402576E-3</v>
      </c>
      <c r="N50" s="18">
        <v>4.0006170962099998E-3</v>
      </c>
      <c r="O50" s="18">
        <v>6.0659048485999997E-3</v>
      </c>
      <c r="P50" s="18">
        <v>8.3257012606900004E-3</v>
      </c>
      <c r="Q50" s="18">
        <v>6.7694285472499997E-3</v>
      </c>
      <c r="R50" s="18">
        <v>5.5757300604900003E-3</v>
      </c>
      <c r="S50" s="18">
        <v>5.5265927264799997E-3</v>
      </c>
      <c r="T50" s="18">
        <v>2.8744719498100002E-3</v>
      </c>
      <c r="U50" s="18">
        <v>2.3958411915400001E-3</v>
      </c>
      <c r="V50" s="18">
        <v>2.4483832471300002E-3</v>
      </c>
      <c r="W50" s="18">
        <v>2.2009785849000001E-3</v>
      </c>
      <c r="X50" s="18">
        <v>1.8012987223400001E-3</v>
      </c>
      <c r="Y50" s="18">
        <v>1.7006175936800001E-3</v>
      </c>
      <c r="Z50" s="18">
        <v>1.56761396933E-3</v>
      </c>
      <c r="AA50" s="18">
        <v>1.4314400489699999E-3</v>
      </c>
      <c r="AB50" s="18">
        <v>1.4576122910599999E-3</v>
      </c>
      <c r="AC50" s="19">
        <v>8.7040491297999995E-4</v>
      </c>
      <c r="AD50" s="19">
        <v>9.5294212152999996E-4</v>
      </c>
      <c r="AE50" s="19">
        <v>8.3643793006000003E-4</v>
      </c>
      <c r="AF50" s="19">
        <v>1.13385753806E-3</v>
      </c>
      <c r="AG50" s="18">
        <v>-69.227687238014994</v>
      </c>
      <c r="AH50" s="31"/>
    </row>
    <row r="51" spans="1:34" ht="12" customHeight="1" x14ac:dyDescent="0.25">
      <c r="A51" s="16" t="s">
        <v>100</v>
      </c>
      <c r="B51" s="18">
        <v>0.25215766997143002</v>
      </c>
      <c r="C51" s="18">
        <v>0.25215766997143002</v>
      </c>
      <c r="D51" s="18">
        <v>0.25136452966429002</v>
      </c>
      <c r="E51" s="18">
        <v>0.25566045921428998</v>
      </c>
      <c r="F51" s="18">
        <v>0.25481520420713999</v>
      </c>
      <c r="G51" s="18">
        <v>0.24886914407142999</v>
      </c>
      <c r="H51" s="18">
        <v>0.24539361094286</v>
      </c>
      <c r="I51" s="18">
        <v>0.24708349002857</v>
      </c>
      <c r="J51" s="18">
        <v>0.25199836050713997</v>
      </c>
      <c r="K51" s="18">
        <v>0.26167585840000002</v>
      </c>
      <c r="L51" s="18">
        <v>0.27147846942857001</v>
      </c>
      <c r="M51" s="18">
        <v>0.27734484328571002</v>
      </c>
      <c r="N51" s="18">
        <v>0.28642239120000001</v>
      </c>
      <c r="O51" s="18">
        <v>0.29163386120000001</v>
      </c>
      <c r="P51" s="18">
        <v>0.29630184932857001</v>
      </c>
      <c r="Q51" s="18">
        <v>0.29605894182857001</v>
      </c>
      <c r="R51" s="18">
        <v>0.29993524078570999</v>
      </c>
      <c r="S51" s="18">
        <v>0.3044549607</v>
      </c>
      <c r="T51" s="18">
        <v>0.3092115312</v>
      </c>
      <c r="U51" s="18">
        <v>0.31410532866428997</v>
      </c>
      <c r="V51" s="18">
        <v>0.31462767442856998</v>
      </c>
      <c r="W51" s="18">
        <v>0.31611288028571</v>
      </c>
      <c r="X51" s="18">
        <v>0.31173499311428998</v>
      </c>
      <c r="Y51" s="18">
        <v>0.31245046611429</v>
      </c>
      <c r="Z51" s="18">
        <v>0.31297514631429002</v>
      </c>
      <c r="AA51" s="18">
        <v>0.31409946102857</v>
      </c>
      <c r="AB51" s="18">
        <v>0.3158574804</v>
      </c>
      <c r="AC51" s="19">
        <v>0.32447484163286</v>
      </c>
      <c r="AD51" s="19">
        <v>0.32602210310057</v>
      </c>
      <c r="AE51" s="19">
        <v>0.32756936456829</v>
      </c>
      <c r="AF51" s="19">
        <v>0.33535241614285999</v>
      </c>
      <c r="AG51" s="18">
        <v>32.993145193979998</v>
      </c>
      <c r="AH51" s="31"/>
    </row>
    <row r="52" spans="1:34" ht="13.5" customHeight="1" x14ac:dyDescent="0.25">
      <c r="A52" s="16" t="s">
        <v>101</v>
      </c>
      <c r="B52" s="18" t="s">
        <v>65</v>
      </c>
      <c r="C52" s="18" t="s">
        <v>65</v>
      </c>
      <c r="D52" s="18" t="s">
        <v>65</v>
      </c>
      <c r="E52" s="18" t="s">
        <v>65</v>
      </c>
      <c r="F52" s="18" t="s">
        <v>65</v>
      </c>
      <c r="G52" s="18" t="s">
        <v>65</v>
      </c>
      <c r="H52" s="18" t="s">
        <v>65</v>
      </c>
      <c r="I52" s="18" t="s">
        <v>65</v>
      </c>
      <c r="J52" s="18" t="s">
        <v>65</v>
      </c>
      <c r="K52" s="18" t="s">
        <v>65</v>
      </c>
      <c r="L52" s="18" t="s">
        <v>65</v>
      </c>
      <c r="M52" s="18" t="s">
        <v>65</v>
      </c>
      <c r="N52" s="18" t="s">
        <v>65</v>
      </c>
      <c r="O52" s="18" t="s">
        <v>65</v>
      </c>
      <c r="P52" s="18" t="s">
        <v>65</v>
      </c>
      <c r="Q52" s="18" t="s">
        <v>65</v>
      </c>
      <c r="R52" s="18" t="s">
        <v>65</v>
      </c>
      <c r="S52" s="18" t="s">
        <v>65</v>
      </c>
      <c r="T52" s="18" t="s">
        <v>65</v>
      </c>
      <c r="U52" s="18" t="s">
        <v>65</v>
      </c>
      <c r="V52" s="18" t="s">
        <v>65</v>
      </c>
      <c r="W52" s="18" t="s">
        <v>65</v>
      </c>
      <c r="X52" s="18" t="s">
        <v>65</v>
      </c>
      <c r="Y52" s="18" t="s">
        <v>65</v>
      </c>
      <c r="Z52" s="18" t="s">
        <v>65</v>
      </c>
      <c r="AA52" s="18" t="s">
        <v>65</v>
      </c>
      <c r="AB52" s="18" t="s">
        <v>65</v>
      </c>
      <c r="AC52" s="19" t="s">
        <v>65</v>
      </c>
      <c r="AD52" s="19" t="s">
        <v>65</v>
      </c>
      <c r="AE52" s="19" t="s">
        <v>65</v>
      </c>
      <c r="AF52" s="19" t="s">
        <v>65</v>
      </c>
      <c r="AG52" s="18">
        <v>0</v>
      </c>
      <c r="AH52" s="31"/>
    </row>
    <row r="53" spans="1:34" ht="12.75" customHeight="1" x14ac:dyDescent="0.25">
      <c r="A53" s="23" t="s">
        <v>102</v>
      </c>
      <c r="B53" s="14" t="s">
        <v>65</v>
      </c>
      <c r="C53" s="14" t="s">
        <v>65</v>
      </c>
      <c r="D53" s="14" t="s">
        <v>65</v>
      </c>
      <c r="E53" s="14" t="s">
        <v>65</v>
      </c>
      <c r="F53" s="14" t="s">
        <v>65</v>
      </c>
      <c r="G53" s="14" t="s">
        <v>65</v>
      </c>
      <c r="H53" s="14" t="s">
        <v>65</v>
      </c>
      <c r="I53" s="14" t="s">
        <v>65</v>
      </c>
      <c r="J53" s="14" t="s">
        <v>65</v>
      </c>
      <c r="K53" s="14" t="s">
        <v>65</v>
      </c>
      <c r="L53" s="14" t="s">
        <v>65</v>
      </c>
      <c r="M53" s="14" t="s">
        <v>65</v>
      </c>
      <c r="N53" s="14" t="s">
        <v>65</v>
      </c>
      <c r="O53" s="14" t="s">
        <v>65</v>
      </c>
      <c r="P53" s="14" t="s">
        <v>65</v>
      </c>
      <c r="Q53" s="14" t="s">
        <v>65</v>
      </c>
      <c r="R53" s="14" t="s">
        <v>65</v>
      </c>
      <c r="S53" s="14" t="s">
        <v>65</v>
      </c>
      <c r="T53" s="14" t="s">
        <v>65</v>
      </c>
      <c r="U53" s="14" t="s">
        <v>65</v>
      </c>
      <c r="V53" s="14" t="s">
        <v>65</v>
      </c>
      <c r="W53" s="14" t="s">
        <v>65</v>
      </c>
      <c r="X53" s="14" t="s">
        <v>65</v>
      </c>
      <c r="Y53" s="14" t="s">
        <v>65</v>
      </c>
      <c r="Z53" s="14" t="s">
        <v>65</v>
      </c>
      <c r="AA53" s="14" t="s">
        <v>65</v>
      </c>
      <c r="AB53" s="14" t="s">
        <v>65</v>
      </c>
      <c r="AC53" s="14" t="s">
        <v>65</v>
      </c>
      <c r="AD53" s="14" t="s">
        <v>65</v>
      </c>
      <c r="AE53" s="14" t="s">
        <v>65</v>
      </c>
      <c r="AF53" s="14" t="s">
        <v>65</v>
      </c>
      <c r="AG53" s="14">
        <v>0</v>
      </c>
      <c r="AH53" s="31"/>
    </row>
    <row r="54" spans="1:34" ht="15" customHeight="1" x14ac:dyDescent="0.25">
      <c r="A54" s="35" t="s">
        <v>142</v>
      </c>
      <c r="B54" s="14">
        <v>25.738469048699699</v>
      </c>
      <c r="C54" s="14">
        <v>25.738469048699699</v>
      </c>
      <c r="D54" s="14">
        <v>24.98516217565038</v>
      </c>
      <c r="E54" s="14">
        <v>24.768056885212019</v>
      </c>
      <c r="F54" s="14">
        <v>25.214483882413539</v>
      </c>
      <c r="G54" s="14">
        <v>26.144976448811668</v>
      </c>
      <c r="H54" s="14">
        <v>27.20024927402784</v>
      </c>
      <c r="I54" s="14">
        <v>27.61573041611409</v>
      </c>
      <c r="J54" s="14">
        <v>27.310714528098782</v>
      </c>
      <c r="K54" s="14">
        <v>28.785222808325479</v>
      </c>
      <c r="L54" s="14">
        <v>28.025519641190652</v>
      </c>
      <c r="M54" s="14">
        <v>27.028988071858318</v>
      </c>
      <c r="N54" s="14">
        <v>25.435986433271712</v>
      </c>
      <c r="O54" s="14">
        <v>24.328622652529759</v>
      </c>
      <c r="P54" s="14">
        <v>24.000574683030742</v>
      </c>
      <c r="Q54" s="14">
        <v>23.548027229707781</v>
      </c>
      <c r="R54" s="14">
        <v>23.12668938982824</v>
      </c>
      <c r="S54" s="14">
        <v>22.420353635831589</v>
      </c>
      <c r="T54" s="14">
        <v>21.585075135045329</v>
      </c>
      <c r="U54" s="14">
        <v>21.432488555884671</v>
      </c>
      <c r="V54" s="14">
        <v>20.797510721774628</v>
      </c>
      <c r="W54" s="14">
        <v>21.647722213675969</v>
      </c>
      <c r="X54" s="14">
        <v>20.22418760038002</v>
      </c>
      <c r="Y54" s="14">
        <v>21.022444741768201</v>
      </c>
      <c r="Z54" s="14">
        <v>22.418122870701868</v>
      </c>
      <c r="AA54" s="14">
        <v>21.50888245953395</v>
      </c>
      <c r="AB54" s="14">
        <v>21.715255214738029</v>
      </c>
      <c r="AC54" s="14">
        <v>22.06613199022047</v>
      </c>
      <c r="AD54" s="14">
        <v>23.186606036351758</v>
      </c>
      <c r="AE54" s="14">
        <v>24.341991937086181</v>
      </c>
      <c r="AF54" s="14">
        <v>23.004457248979769</v>
      </c>
      <c r="AG54" s="14">
        <v>-10.622278250299001</v>
      </c>
      <c r="AH54" s="31"/>
    </row>
    <row r="55" spans="1:34" ht="15" customHeight="1" x14ac:dyDescent="0.25">
      <c r="A55" s="39" t="s">
        <v>143</v>
      </c>
      <c r="B55" s="14">
        <v>26.227661646226469</v>
      </c>
      <c r="C55" s="14">
        <v>26.227661646226469</v>
      </c>
      <c r="D55" s="14">
        <v>25.54114757699584</v>
      </c>
      <c r="E55" s="14">
        <v>25.204417941327272</v>
      </c>
      <c r="F55" s="14">
        <v>25.697521605793529</v>
      </c>
      <c r="G55" s="14">
        <v>26.66019560145218</v>
      </c>
      <c r="H55" s="14">
        <v>27.848538989904149</v>
      </c>
      <c r="I55" s="14">
        <v>28.242940550096499</v>
      </c>
      <c r="J55" s="14">
        <v>27.991006485181408</v>
      </c>
      <c r="K55" s="14">
        <v>29.429943506676828</v>
      </c>
      <c r="L55" s="14">
        <v>28.645206014373741</v>
      </c>
      <c r="M55" s="14">
        <v>27.71314943954696</v>
      </c>
      <c r="N55" s="14">
        <v>26.361520111669961</v>
      </c>
      <c r="O55" s="14">
        <v>25.205268301960501</v>
      </c>
      <c r="P55" s="14">
        <v>25.051707160096711</v>
      </c>
      <c r="Q55" s="14">
        <v>24.4628018371635</v>
      </c>
      <c r="R55" s="14">
        <v>24.09014417670684</v>
      </c>
      <c r="S55" s="14">
        <v>23.416369558615369</v>
      </c>
      <c r="T55" s="14">
        <v>22.587866931128591</v>
      </c>
      <c r="U55" s="14">
        <v>22.52824456889773</v>
      </c>
      <c r="V55" s="14">
        <v>21.984221435495591</v>
      </c>
      <c r="W55" s="14">
        <v>23.20500683157471</v>
      </c>
      <c r="X55" s="14">
        <v>21.5969237323845</v>
      </c>
      <c r="Y55" s="14">
        <v>22.350835962576291</v>
      </c>
      <c r="Z55" s="14">
        <v>23.861676615019551</v>
      </c>
      <c r="AA55" s="14">
        <v>23.087068532383508</v>
      </c>
      <c r="AB55" s="14">
        <v>23.139800195035772</v>
      </c>
      <c r="AC55" s="14">
        <v>23.40291895350531</v>
      </c>
      <c r="AD55" s="14">
        <v>24.736923302581051</v>
      </c>
      <c r="AE55" s="14">
        <v>25.702323908143718</v>
      </c>
      <c r="AF55" s="14">
        <v>24.338960161356191</v>
      </c>
      <c r="AG55" s="14">
        <v>-7.2011813723470004</v>
      </c>
      <c r="AH55" s="31"/>
    </row>
    <row r="56" spans="1:34" ht="14" x14ac:dyDescent="0.25">
      <c r="A56" s="24" t="s">
        <v>144</v>
      </c>
      <c r="B56" s="25" t="s">
        <v>69</v>
      </c>
      <c r="C56" s="25" t="s">
        <v>69</v>
      </c>
      <c r="D56" s="25" t="s">
        <v>69</v>
      </c>
      <c r="E56" s="25" t="s">
        <v>69</v>
      </c>
      <c r="F56" s="25" t="s">
        <v>69</v>
      </c>
      <c r="G56" s="25" t="s">
        <v>69</v>
      </c>
      <c r="H56" s="25" t="s">
        <v>69</v>
      </c>
      <c r="I56" s="25" t="s">
        <v>69</v>
      </c>
      <c r="J56" s="25" t="s">
        <v>69</v>
      </c>
      <c r="K56" s="25" t="s">
        <v>69</v>
      </c>
      <c r="L56" s="25" t="s">
        <v>69</v>
      </c>
      <c r="M56" s="25" t="s">
        <v>69</v>
      </c>
      <c r="N56" s="25" t="s">
        <v>69</v>
      </c>
      <c r="O56" s="25" t="s">
        <v>69</v>
      </c>
      <c r="P56" s="25" t="s">
        <v>69</v>
      </c>
      <c r="Q56" s="25" t="s">
        <v>69</v>
      </c>
      <c r="R56" s="25" t="s">
        <v>69</v>
      </c>
      <c r="S56" s="25" t="s">
        <v>69</v>
      </c>
      <c r="T56" s="25" t="s">
        <v>69</v>
      </c>
      <c r="U56" s="25" t="s">
        <v>69</v>
      </c>
      <c r="V56" s="25" t="s">
        <v>69</v>
      </c>
      <c r="W56" s="25" t="s">
        <v>69</v>
      </c>
      <c r="X56" s="25" t="s">
        <v>69</v>
      </c>
      <c r="Y56" s="25" t="s">
        <v>69</v>
      </c>
      <c r="Z56" s="25" t="s">
        <v>69</v>
      </c>
      <c r="AA56" s="25" t="s">
        <v>69</v>
      </c>
      <c r="AB56" s="25" t="s">
        <v>69</v>
      </c>
      <c r="AC56" s="25" t="s">
        <v>69</v>
      </c>
      <c r="AD56" s="25" t="s">
        <v>69</v>
      </c>
      <c r="AE56" s="25" t="s">
        <v>69</v>
      </c>
      <c r="AF56" s="25" t="s">
        <v>69</v>
      </c>
      <c r="AG56" s="25" t="s">
        <v>69</v>
      </c>
      <c r="AH56" s="31"/>
    </row>
    <row r="57" spans="1:34" x14ac:dyDescent="0.25">
      <c r="A57" s="24" t="s">
        <v>104</v>
      </c>
      <c r="B57" s="14">
        <v>3.0683720219050001E-2</v>
      </c>
      <c r="C57" s="14">
        <v>3.0683720219050001E-2</v>
      </c>
      <c r="D57" s="14">
        <v>3.111521753358E-2</v>
      </c>
      <c r="E57" s="14">
        <v>2.602042147984E-2</v>
      </c>
      <c r="F57" s="14">
        <v>4.1061322584269998E-2</v>
      </c>
      <c r="G57" s="14">
        <v>3.5602852966799999E-2</v>
      </c>
      <c r="H57" s="14">
        <v>4.1295727468439999E-2</v>
      </c>
      <c r="I57" s="14">
        <v>4.2240667693570003E-2</v>
      </c>
      <c r="J57" s="14">
        <v>4.7694021232230002E-2</v>
      </c>
      <c r="K57" s="14">
        <v>4.9332351587089998E-2</v>
      </c>
      <c r="L57" s="14">
        <v>5.7140681198969999E-2</v>
      </c>
      <c r="M57" s="14">
        <v>6.2266911087630002E-2</v>
      </c>
      <c r="N57" s="14">
        <v>7.342797366796E-2</v>
      </c>
      <c r="O57" s="14">
        <v>7.5658490464719994E-2</v>
      </c>
      <c r="P57" s="14">
        <v>7.6439810074060005E-2</v>
      </c>
      <c r="Q57" s="14">
        <v>7.1436683222570005E-2</v>
      </c>
      <c r="R57" s="14">
        <v>7.6550964313970002E-2</v>
      </c>
      <c r="S57" s="14">
        <v>8.8815061866440004E-2</v>
      </c>
      <c r="T57" s="14">
        <v>9.2159904692270006E-2</v>
      </c>
      <c r="U57" s="14">
        <v>8.2690238177740003E-2</v>
      </c>
      <c r="V57" s="14">
        <v>6.8812242799609999E-2</v>
      </c>
      <c r="W57" s="14">
        <v>7.4324770562740006E-2</v>
      </c>
      <c r="X57" s="14">
        <v>6.5285457660079996E-2</v>
      </c>
      <c r="Y57" s="14">
        <v>5.8014236657690003E-2</v>
      </c>
      <c r="Z57" s="14">
        <v>6.6770137622270007E-2</v>
      </c>
      <c r="AA57" s="14">
        <v>7.1720625285230002E-2</v>
      </c>
      <c r="AB57" s="14">
        <v>8.1797817892840005E-2</v>
      </c>
      <c r="AC57" s="14">
        <v>8.3555280017580003E-2</v>
      </c>
      <c r="AD57" s="14">
        <v>9.5625427681590006E-2</v>
      </c>
      <c r="AE57" s="14">
        <v>0.10274202664901</v>
      </c>
      <c r="AF57" s="14">
        <v>0.10215175035262</v>
      </c>
      <c r="AG57" s="14">
        <v>232.918399800814</v>
      </c>
      <c r="AH57" s="31"/>
    </row>
    <row r="58" spans="1:34" x14ac:dyDescent="0.25">
      <c r="A58" s="26" t="s">
        <v>105</v>
      </c>
      <c r="B58" s="18">
        <v>2.916192727585E-2</v>
      </c>
      <c r="C58" s="18">
        <v>2.916192727585E-2</v>
      </c>
      <c r="D58" s="18">
        <v>2.8261444411979999E-2</v>
      </c>
      <c r="E58" s="18">
        <v>2.459767985104E-2</v>
      </c>
      <c r="F58" s="18">
        <v>3.6466929230669999E-2</v>
      </c>
      <c r="G58" s="18">
        <v>3.2307707389199997E-2</v>
      </c>
      <c r="H58" s="18">
        <v>3.1368841415640003E-2</v>
      </c>
      <c r="I58" s="18">
        <v>2.8795663842369999E-2</v>
      </c>
      <c r="J58" s="18">
        <v>3.4818028621829998E-2</v>
      </c>
      <c r="K58" s="18">
        <v>3.5854188279890002E-2</v>
      </c>
      <c r="L58" s="18">
        <v>4.244988663417E-2</v>
      </c>
      <c r="M58" s="18">
        <v>4.9341179293230002E-2</v>
      </c>
      <c r="N58" s="18">
        <v>5.963193175756E-2</v>
      </c>
      <c r="O58" s="18">
        <v>6.3401248279119998E-2</v>
      </c>
      <c r="P58" s="18">
        <v>6.1893661075660002E-2</v>
      </c>
      <c r="Q58" s="18">
        <v>5.8647307130570002E-2</v>
      </c>
      <c r="R58" s="18">
        <v>6.7613311967450004E-2</v>
      </c>
      <c r="S58" s="18">
        <v>7.7932657123749999E-2</v>
      </c>
      <c r="T58" s="18">
        <v>8.2624057963080005E-2</v>
      </c>
      <c r="U58" s="18">
        <v>7.6802348060069997E-2</v>
      </c>
      <c r="V58" s="18">
        <v>6.0626975934109997E-2</v>
      </c>
      <c r="W58" s="18">
        <v>6.2704232089590001E-2</v>
      </c>
      <c r="X58" s="18">
        <v>5.6242557188699999E-2</v>
      </c>
      <c r="Y58" s="18">
        <v>4.7250912366669999E-2</v>
      </c>
      <c r="Z58" s="18">
        <v>5.4518744832059998E-2</v>
      </c>
      <c r="AA58" s="18">
        <v>6.0455818286579997E-2</v>
      </c>
      <c r="AB58" s="18">
        <v>6.8433222425960005E-2</v>
      </c>
      <c r="AC58" s="19">
        <v>7.0182343658309998E-2</v>
      </c>
      <c r="AD58" s="19">
        <v>8.2578209778019995E-2</v>
      </c>
      <c r="AE58" s="19">
        <v>8.916431876941E-2</v>
      </c>
      <c r="AF58" s="19">
        <v>9.0251601791220007E-2</v>
      </c>
      <c r="AG58" s="18">
        <v>209.48435244868199</v>
      </c>
      <c r="AH58" s="31"/>
    </row>
    <row r="59" spans="1:34" x14ac:dyDescent="0.25">
      <c r="A59" s="26" t="s">
        <v>106</v>
      </c>
      <c r="B59" s="18">
        <v>1.5217929432E-3</v>
      </c>
      <c r="C59" s="18">
        <v>1.5217929432E-3</v>
      </c>
      <c r="D59" s="18">
        <v>2.8537731216E-3</v>
      </c>
      <c r="E59" s="18">
        <v>1.4227416288000001E-3</v>
      </c>
      <c r="F59" s="18">
        <v>4.5943933536000004E-3</v>
      </c>
      <c r="G59" s="18">
        <v>3.2951455776000001E-3</v>
      </c>
      <c r="H59" s="18">
        <v>9.9268860527999998E-3</v>
      </c>
      <c r="I59" s="18">
        <v>1.34450038512E-2</v>
      </c>
      <c r="J59" s="18">
        <v>1.2875992610400001E-2</v>
      </c>
      <c r="K59" s="18">
        <v>1.3478163307199999E-2</v>
      </c>
      <c r="L59" s="18">
        <v>1.46907945648E-2</v>
      </c>
      <c r="M59" s="18">
        <v>1.29257317944E-2</v>
      </c>
      <c r="N59" s="18">
        <v>1.37960419104E-2</v>
      </c>
      <c r="O59" s="18">
        <v>1.22572421856E-2</v>
      </c>
      <c r="P59" s="18">
        <v>1.45461489984E-2</v>
      </c>
      <c r="Q59" s="18">
        <v>1.2789376092E-2</v>
      </c>
      <c r="R59" s="18">
        <v>8.9376523465199992E-3</v>
      </c>
      <c r="S59" s="18">
        <v>1.088240474269E-2</v>
      </c>
      <c r="T59" s="18">
        <v>9.5358467291900006E-3</v>
      </c>
      <c r="U59" s="18">
        <v>5.8878901176700003E-3</v>
      </c>
      <c r="V59" s="18">
        <v>8.1852668654999999E-3</v>
      </c>
      <c r="W59" s="18">
        <v>1.162053847315E-2</v>
      </c>
      <c r="X59" s="18">
        <v>9.0429004713800006E-3</v>
      </c>
      <c r="Y59" s="18">
        <v>1.0763324291019999E-2</v>
      </c>
      <c r="Z59" s="18">
        <v>1.225139279021E-2</v>
      </c>
      <c r="AA59" s="18">
        <v>1.126480699865E-2</v>
      </c>
      <c r="AB59" s="18">
        <v>1.336459546688E-2</v>
      </c>
      <c r="AC59" s="19">
        <v>1.3372936359269999E-2</v>
      </c>
      <c r="AD59" s="19">
        <v>1.304721790357E-2</v>
      </c>
      <c r="AE59" s="19">
        <v>1.35777078796E-2</v>
      </c>
      <c r="AF59" s="19">
        <v>1.19001485614E-2</v>
      </c>
      <c r="AG59" s="18">
        <v>681.98210962764597</v>
      </c>
      <c r="AH59" s="31"/>
    </row>
    <row r="60" spans="1:34" x14ac:dyDescent="0.25">
      <c r="A60" s="27" t="s">
        <v>107</v>
      </c>
      <c r="B60" s="18" t="s">
        <v>65</v>
      </c>
      <c r="C60" s="18" t="s">
        <v>65</v>
      </c>
      <c r="D60" s="18" t="s">
        <v>65</v>
      </c>
      <c r="E60" s="18" t="s">
        <v>65</v>
      </c>
      <c r="F60" s="18" t="s">
        <v>65</v>
      </c>
      <c r="G60" s="18" t="s">
        <v>65</v>
      </c>
      <c r="H60" s="18" t="s">
        <v>65</v>
      </c>
      <c r="I60" s="18" t="s">
        <v>65</v>
      </c>
      <c r="J60" s="18" t="s">
        <v>65</v>
      </c>
      <c r="K60" s="18" t="s">
        <v>65</v>
      </c>
      <c r="L60" s="18" t="s">
        <v>65</v>
      </c>
      <c r="M60" s="18" t="s">
        <v>65</v>
      </c>
      <c r="N60" s="18" t="s">
        <v>65</v>
      </c>
      <c r="O60" s="18" t="s">
        <v>65</v>
      </c>
      <c r="P60" s="18" t="s">
        <v>65</v>
      </c>
      <c r="Q60" s="18" t="s">
        <v>65</v>
      </c>
      <c r="R60" s="18" t="s">
        <v>65</v>
      </c>
      <c r="S60" s="18" t="s">
        <v>65</v>
      </c>
      <c r="T60" s="18" t="s">
        <v>65</v>
      </c>
      <c r="U60" s="18" t="s">
        <v>65</v>
      </c>
      <c r="V60" s="18" t="s">
        <v>65</v>
      </c>
      <c r="W60" s="18" t="s">
        <v>65</v>
      </c>
      <c r="X60" s="18" t="s">
        <v>65</v>
      </c>
      <c r="Y60" s="18" t="s">
        <v>65</v>
      </c>
      <c r="Z60" s="18" t="s">
        <v>65</v>
      </c>
      <c r="AA60" s="18" t="s">
        <v>65</v>
      </c>
      <c r="AB60" s="18" t="s">
        <v>65</v>
      </c>
      <c r="AC60" s="19" t="s">
        <v>65</v>
      </c>
      <c r="AD60" s="19" t="s">
        <v>65</v>
      </c>
      <c r="AE60" s="19" t="s">
        <v>65</v>
      </c>
      <c r="AF60" s="19" t="s">
        <v>65</v>
      </c>
      <c r="AG60" s="18">
        <v>0</v>
      </c>
      <c r="AH60" s="31"/>
    </row>
    <row r="61" spans="1:34" ht="13.5" x14ac:dyDescent="0.25">
      <c r="A61" s="24" t="s">
        <v>108</v>
      </c>
      <c r="B61" s="25" t="s">
        <v>69</v>
      </c>
      <c r="C61" s="25" t="s">
        <v>69</v>
      </c>
      <c r="D61" s="25" t="s">
        <v>69</v>
      </c>
      <c r="E61" s="25" t="s">
        <v>69</v>
      </c>
      <c r="F61" s="25" t="s">
        <v>69</v>
      </c>
      <c r="G61" s="25" t="s">
        <v>69</v>
      </c>
      <c r="H61" s="25" t="s">
        <v>69</v>
      </c>
      <c r="I61" s="25" t="s">
        <v>69</v>
      </c>
      <c r="J61" s="25" t="s">
        <v>69</v>
      </c>
      <c r="K61" s="25" t="s">
        <v>69</v>
      </c>
      <c r="L61" s="25" t="s">
        <v>69</v>
      </c>
      <c r="M61" s="25" t="s">
        <v>69</v>
      </c>
      <c r="N61" s="25" t="s">
        <v>69</v>
      </c>
      <c r="O61" s="25" t="s">
        <v>69</v>
      </c>
      <c r="P61" s="25" t="s">
        <v>69</v>
      </c>
      <c r="Q61" s="25" t="s">
        <v>69</v>
      </c>
      <c r="R61" s="25" t="s">
        <v>69</v>
      </c>
      <c r="S61" s="25" t="s">
        <v>69</v>
      </c>
      <c r="T61" s="25" t="s">
        <v>69</v>
      </c>
      <c r="U61" s="25" t="s">
        <v>69</v>
      </c>
      <c r="V61" s="25" t="s">
        <v>69</v>
      </c>
      <c r="W61" s="25" t="s">
        <v>69</v>
      </c>
      <c r="X61" s="25" t="s">
        <v>69</v>
      </c>
      <c r="Y61" s="25" t="s">
        <v>69</v>
      </c>
      <c r="Z61" s="25" t="s">
        <v>69</v>
      </c>
      <c r="AA61" s="25" t="s">
        <v>69</v>
      </c>
      <c r="AB61" s="25" t="s">
        <v>69</v>
      </c>
      <c r="AC61" s="25" t="s">
        <v>69</v>
      </c>
      <c r="AD61" s="25" t="s">
        <v>69</v>
      </c>
      <c r="AE61" s="25" t="s">
        <v>69</v>
      </c>
      <c r="AF61" s="25" t="s">
        <v>69</v>
      </c>
      <c r="AG61" s="25" t="s">
        <v>69</v>
      </c>
      <c r="AH61" s="31"/>
    </row>
    <row r="62" spans="1:34" ht="13.5" x14ac:dyDescent="0.25">
      <c r="A62" s="27" t="s">
        <v>109</v>
      </c>
      <c r="B62" s="25" t="s">
        <v>69</v>
      </c>
      <c r="C62" s="25" t="s">
        <v>69</v>
      </c>
      <c r="D62" s="25" t="s">
        <v>69</v>
      </c>
      <c r="E62" s="25" t="s">
        <v>69</v>
      </c>
      <c r="F62" s="25" t="s">
        <v>69</v>
      </c>
      <c r="G62" s="25" t="s">
        <v>69</v>
      </c>
      <c r="H62" s="25" t="s">
        <v>69</v>
      </c>
      <c r="I62" s="25" t="s">
        <v>69</v>
      </c>
      <c r="J62" s="25" t="s">
        <v>69</v>
      </c>
      <c r="K62" s="25" t="s">
        <v>69</v>
      </c>
      <c r="L62" s="25" t="s">
        <v>69</v>
      </c>
      <c r="M62" s="25" t="s">
        <v>69</v>
      </c>
      <c r="N62" s="25" t="s">
        <v>69</v>
      </c>
      <c r="O62" s="25" t="s">
        <v>69</v>
      </c>
      <c r="P62" s="25" t="s">
        <v>69</v>
      </c>
      <c r="Q62" s="25" t="s">
        <v>69</v>
      </c>
      <c r="R62" s="25" t="s">
        <v>69</v>
      </c>
      <c r="S62" s="25" t="s">
        <v>69</v>
      </c>
      <c r="T62" s="25" t="s">
        <v>69</v>
      </c>
      <c r="U62" s="25" t="s">
        <v>69</v>
      </c>
      <c r="V62" s="25" t="s">
        <v>69</v>
      </c>
      <c r="W62" s="25" t="s">
        <v>69</v>
      </c>
      <c r="X62" s="25" t="s">
        <v>69</v>
      </c>
      <c r="Y62" s="25" t="s">
        <v>69</v>
      </c>
      <c r="Z62" s="25" t="s">
        <v>69</v>
      </c>
      <c r="AA62" s="25" t="s">
        <v>69</v>
      </c>
      <c r="AB62" s="25" t="s">
        <v>69</v>
      </c>
      <c r="AC62" s="25" t="s">
        <v>69</v>
      </c>
      <c r="AD62" s="25" t="s">
        <v>69</v>
      </c>
      <c r="AE62" s="25" t="s">
        <v>69</v>
      </c>
      <c r="AF62" s="25" t="s">
        <v>69</v>
      </c>
      <c r="AG62" s="25" t="s">
        <v>69</v>
      </c>
      <c r="AH62" s="31"/>
    </row>
    <row r="63" spans="1:34" x14ac:dyDescent="0.25">
      <c r="A63" s="27" t="s">
        <v>110</v>
      </c>
      <c r="B63" s="25" t="s">
        <v>69</v>
      </c>
      <c r="C63" s="25" t="s">
        <v>69</v>
      </c>
      <c r="D63" s="25" t="s">
        <v>69</v>
      </c>
      <c r="E63" s="25" t="s">
        <v>69</v>
      </c>
      <c r="F63" s="25" t="s">
        <v>69</v>
      </c>
      <c r="G63" s="25" t="s">
        <v>69</v>
      </c>
      <c r="H63" s="25" t="s">
        <v>69</v>
      </c>
      <c r="I63" s="25" t="s">
        <v>69</v>
      </c>
      <c r="J63" s="25" t="s">
        <v>69</v>
      </c>
      <c r="K63" s="25" t="s">
        <v>69</v>
      </c>
      <c r="L63" s="25" t="s">
        <v>69</v>
      </c>
      <c r="M63" s="25" t="s">
        <v>69</v>
      </c>
      <c r="N63" s="25" t="s">
        <v>69</v>
      </c>
      <c r="O63" s="25" t="s">
        <v>69</v>
      </c>
      <c r="P63" s="25" t="s">
        <v>69</v>
      </c>
      <c r="Q63" s="25" t="s">
        <v>69</v>
      </c>
      <c r="R63" s="25" t="s">
        <v>69</v>
      </c>
      <c r="S63" s="25" t="s">
        <v>69</v>
      </c>
      <c r="T63" s="25" t="s">
        <v>69</v>
      </c>
      <c r="U63" s="25" t="s">
        <v>69</v>
      </c>
      <c r="V63" s="25" t="s">
        <v>69</v>
      </c>
      <c r="W63" s="25" t="s">
        <v>69</v>
      </c>
      <c r="X63" s="25" t="s">
        <v>69</v>
      </c>
      <c r="Y63" s="25" t="s">
        <v>69</v>
      </c>
      <c r="Z63" s="25" t="s">
        <v>69</v>
      </c>
      <c r="AA63" s="25" t="s">
        <v>69</v>
      </c>
      <c r="AB63" s="25" t="s">
        <v>69</v>
      </c>
      <c r="AC63" s="25" t="s">
        <v>69</v>
      </c>
      <c r="AD63" s="25" t="s">
        <v>69</v>
      </c>
      <c r="AE63" s="25" t="s">
        <v>69</v>
      </c>
      <c r="AF63" s="25" t="s">
        <v>69</v>
      </c>
      <c r="AG63" s="25" t="s">
        <v>69</v>
      </c>
      <c r="AH63" s="31"/>
    </row>
    <row r="64" spans="1:34" ht="12" customHeight="1" x14ac:dyDescent="0.25">
      <c r="A64" s="40" t="s">
        <v>112</v>
      </c>
      <c r="B64" s="18" t="s">
        <v>113</v>
      </c>
      <c r="C64" s="18" t="s">
        <v>113</v>
      </c>
      <c r="D64" s="18" t="s">
        <v>113</v>
      </c>
      <c r="E64" s="18" t="s">
        <v>113</v>
      </c>
      <c r="F64" s="18" t="s">
        <v>113</v>
      </c>
      <c r="G64" s="18" t="s">
        <v>113</v>
      </c>
      <c r="H64" s="18" t="s">
        <v>113</v>
      </c>
      <c r="I64" s="18" t="s">
        <v>113</v>
      </c>
      <c r="J64" s="18" t="s">
        <v>113</v>
      </c>
      <c r="K64" s="18" t="s">
        <v>113</v>
      </c>
      <c r="L64" s="18" t="s">
        <v>113</v>
      </c>
      <c r="M64" s="18" t="s">
        <v>113</v>
      </c>
      <c r="N64" s="18" t="s">
        <v>113</v>
      </c>
      <c r="O64" s="18" t="s">
        <v>113</v>
      </c>
      <c r="P64" s="18" t="s">
        <v>113</v>
      </c>
      <c r="Q64" s="18" t="s">
        <v>113</v>
      </c>
      <c r="R64" s="18" t="s">
        <v>113</v>
      </c>
      <c r="S64" s="18" t="s">
        <v>113</v>
      </c>
      <c r="T64" s="18" t="s">
        <v>113</v>
      </c>
      <c r="U64" s="18" t="s">
        <v>113</v>
      </c>
      <c r="V64" s="18" t="s">
        <v>113</v>
      </c>
      <c r="W64" s="18" t="s">
        <v>113</v>
      </c>
      <c r="X64" s="18" t="s">
        <v>113</v>
      </c>
      <c r="Y64" s="18" t="s">
        <v>113</v>
      </c>
      <c r="Z64" s="18" t="s">
        <v>113</v>
      </c>
      <c r="AA64" s="18" t="s">
        <v>113</v>
      </c>
      <c r="AB64" s="18" t="s">
        <v>114</v>
      </c>
      <c r="AC64" s="19" t="s">
        <v>113</v>
      </c>
      <c r="AD64" s="19" t="s">
        <v>113</v>
      </c>
      <c r="AE64" s="19" t="s">
        <v>113</v>
      </c>
      <c r="AF64" s="19" t="s">
        <v>113</v>
      </c>
      <c r="AG64" s="18">
        <v>0</v>
      </c>
      <c r="AH64" s="5"/>
    </row>
    <row r="65" spans="1:34" ht="18" customHeight="1" x14ac:dyDescent="0.25">
      <c r="A65" s="41" t="s">
        <v>115</v>
      </c>
      <c r="B65" s="25" t="s">
        <v>69</v>
      </c>
      <c r="C65" s="25" t="s">
        <v>69</v>
      </c>
      <c r="D65" s="25" t="s">
        <v>69</v>
      </c>
      <c r="E65" s="25" t="s">
        <v>69</v>
      </c>
      <c r="F65" s="25" t="s">
        <v>69</v>
      </c>
      <c r="G65" s="25" t="s">
        <v>69</v>
      </c>
      <c r="H65" s="25" t="s">
        <v>69</v>
      </c>
      <c r="I65" s="25" t="s">
        <v>69</v>
      </c>
      <c r="J65" s="25" t="s">
        <v>69</v>
      </c>
      <c r="K65" s="25" t="s">
        <v>69</v>
      </c>
      <c r="L65" s="25" t="s">
        <v>69</v>
      </c>
      <c r="M65" s="25" t="s">
        <v>69</v>
      </c>
      <c r="N65" s="25" t="s">
        <v>69</v>
      </c>
      <c r="O65" s="25" t="s">
        <v>69</v>
      </c>
      <c r="P65" s="25" t="s">
        <v>69</v>
      </c>
      <c r="Q65" s="25" t="s">
        <v>69</v>
      </c>
      <c r="R65" s="25" t="s">
        <v>69</v>
      </c>
      <c r="S65" s="25" t="s">
        <v>69</v>
      </c>
      <c r="T65" s="25" t="s">
        <v>69</v>
      </c>
      <c r="U65" s="25" t="s">
        <v>69</v>
      </c>
      <c r="V65" s="25" t="s">
        <v>69</v>
      </c>
      <c r="W65" s="25" t="s">
        <v>69</v>
      </c>
      <c r="X65" s="25" t="s">
        <v>69</v>
      </c>
      <c r="Y65" s="25" t="s">
        <v>69</v>
      </c>
      <c r="Z65" s="25" t="s">
        <v>69</v>
      </c>
      <c r="AA65" s="25" t="s">
        <v>69</v>
      </c>
      <c r="AB65" s="25" t="s">
        <v>69</v>
      </c>
      <c r="AC65" s="25" t="s">
        <v>69</v>
      </c>
      <c r="AD65" s="25" t="s">
        <v>69</v>
      </c>
      <c r="AE65" s="25" t="s">
        <v>69</v>
      </c>
      <c r="AF65" s="25" t="s">
        <v>69</v>
      </c>
      <c r="AG65" s="25" t="s">
        <v>69</v>
      </c>
      <c r="AH65" s="5"/>
    </row>
    <row r="66" spans="1:34" ht="12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4" x14ac:dyDescent="0.25">
      <c r="A67" s="37" t="s">
        <v>123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9" spans="1:34" x14ac:dyDescent="0.25">
      <c r="A69" s="7" t="s">
        <v>200</v>
      </c>
      <c r="B69" s="7">
        <v>298</v>
      </c>
    </row>
    <row r="70" spans="1:34" x14ac:dyDescent="0.25">
      <c r="A70" s="7" t="s">
        <v>1</v>
      </c>
      <c r="B70" s="56" t="str">
        <f>B5</f>
        <v>Base year(1)</v>
      </c>
      <c r="C70" s="7">
        <v>1990</v>
      </c>
      <c r="D70" s="7">
        <f>C70+1</f>
        <v>1991</v>
      </c>
      <c r="E70" s="7">
        <f t="shared" ref="E70:AF70" si="0">D70+1</f>
        <v>1992</v>
      </c>
      <c r="F70" s="7">
        <f t="shared" si="0"/>
        <v>1993</v>
      </c>
      <c r="G70" s="7">
        <f t="shared" si="0"/>
        <v>1994</v>
      </c>
      <c r="H70" s="7">
        <f t="shared" si="0"/>
        <v>1995</v>
      </c>
      <c r="I70" s="7">
        <f t="shared" si="0"/>
        <v>1996</v>
      </c>
      <c r="J70" s="7">
        <f t="shared" si="0"/>
        <v>1997</v>
      </c>
      <c r="K70" s="7">
        <f t="shared" si="0"/>
        <v>1998</v>
      </c>
      <c r="L70" s="7">
        <f t="shared" si="0"/>
        <v>1999</v>
      </c>
      <c r="M70" s="7">
        <f t="shared" si="0"/>
        <v>2000</v>
      </c>
      <c r="N70" s="7">
        <f t="shared" si="0"/>
        <v>2001</v>
      </c>
      <c r="O70" s="7">
        <f t="shared" si="0"/>
        <v>2002</v>
      </c>
      <c r="P70" s="7">
        <f t="shared" si="0"/>
        <v>2003</v>
      </c>
      <c r="Q70" s="7">
        <f t="shared" si="0"/>
        <v>2004</v>
      </c>
      <c r="R70" s="7">
        <f t="shared" si="0"/>
        <v>2005</v>
      </c>
      <c r="S70" s="7">
        <f t="shared" si="0"/>
        <v>2006</v>
      </c>
      <c r="T70" s="7">
        <f t="shared" si="0"/>
        <v>2007</v>
      </c>
      <c r="U70" s="7">
        <f t="shared" si="0"/>
        <v>2008</v>
      </c>
      <c r="V70" s="7">
        <f t="shared" si="0"/>
        <v>2009</v>
      </c>
      <c r="W70" s="7">
        <f t="shared" si="0"/>
        <v>2010</v>
      </c>
      <c r="X70" s="7">
        <f t="shared" si="0"/>
        <v>2011</v>
      </c>
      <c r="Y70" s="7">
        <f t="shared" si="0"/>
        <v>2012</v>
      </c>
      <c r="Z70" s="7">
        <f t="shared" si="0"/>
        <v>2013</v>
      </c>
      <c r="AA70" s="7">
        <f t="shared" si="0"/>
        <v>2014</v>
      </c>
      <c r="AB70" s="7">
        <f t="shared" si="0"/>
        <v>2015</v>
      </c>
      <c r="AC70" s="7">
        <f t="shared" si="0"/>
        <v>2016</v>
      </c>
      <c r="AD70" s="7">
        <f t="shared" si="0"/>
        <v>2017</v>
      </c>
      <c r="AE70" s="7">
        <f t="shared" si="0"/>
        <v>2018</v>
      </c>
      <c r="AF70" s="7">
        <f t="shared" si="0"/>
        <v>2019</v>
      </c>
    </row>
    <row r="71" spans="1:34" x14ac:dyDescent="0.25">
      <c r="A71" s="7" t="str">
        <f t="shared" ref="A71:D72" si="1">A54</f>
        <v>Total direct N2O emissions without N2O from LULUCF</v>
      </c>
      <c r="B71" s="57">
        <f t="shared" si="1"/>
        <v>25.738469048699699</v>
      </c>
      <c r="C71" s="57">
        <f t="shared" si="1"/>
        <v>25.738469048699699</v>
      </c>
      <c r="D71" s="57">
        <f t="shared" si="1"/>
        <v>24.98516217565038</v>
      </c>
      <c r="E71" s="57">
        <f t="shared" ref="E71:AF71" si="2">E54</f>
        <v>24.768056885212019</v>
      </c>
      <c r="F71" s="57">
        <f t="shared" si="2"/>
        <v>25.214483882413539</v>
      </c>
      <c r="G71" s="57">
        <f t="shared" si="2"/>
        <v>26.144976448811668</v>
      </c>
      <c r="H71" s="57">
        <f t="shared" si="2"/>
        <v>27.20024927402784</v>
      </c>
      <c r="I71" s="57">
        <f t="shared" si="2"/>
        <v>27.61573041611409</v>
      </c>
      <c r="J71" s="57">
        <f t="shared" si="2"/>
        <v>27.310714528098782</v>
      </c>
      <c r="K71" s="57">
        <f t="shared" si="2"/>
        <v>28.785222808325479</v>
      </c>
      <c r="L71" s="57">
        <f t="shared" si="2"/>
        <v>28.025519641190652</v>
      </c>
      <c r="M71" s="57">
        <f t="shared" si="2"/>
        <v>27.028988071858318</v>
      </c>
      <c r="N71" s="57">
        <f t="shared" si="2"/>
        <v>25.435986433271712</v>
      </c>
      <c r="O71" s="57">
        <f t="shared" si="2"/>
        <v>24.328622652529759</v>
      </c>
      <c r="P71" s="57">
        <f t="shared" si="2"/>
        <v>24.000574683030742</v>
      </c>
      <c r="Q71" s="57">
        <f t="shared" si="2"/>
        <v>23.548027229707781</v>
      </c>
      <c r="R71" s="57">
        <f t="shared" si="2"/>
        <v>23.12668938982824</v>
      </c>
      <c r="S71" s="57">
        <f t="shared" si="2"/>
        <v>22.420353635831589</v>
      </c>
      <c r="T71" s="57">
        <f t="shared" si="2"/>
        <v>21.585075135045329</v>
      </c>
      <c r="U71" s="57">
        <f t="shared" si="2"/>
        <v>21.432488555884671</v>
      </c>
      <c r="V71" s="57">
        <f t="shared" si="2"/>
        <v>20.797510721774628</v>
      </c>
      <c r="W71" s="57">
        <f t="shared" si="2"/>
        <v>21.647722213675969</v>
      </c>
      <c r="X71" s="57">
        <f t="shared" si="2"/>
        <v>20.22418760038002</v>
      </c>
      <c r="Y71" s="57">
        <f t="shared" si="2"/>
        <v>21.022444741768201</v>
      </c>
      <c r="Z71" s="57">
        <f t="shared" si="2"/>
        <v>22.418122870701868</v>
      </c>
      <c r="AA71" s="57">
        <f t="shared" si="2"/>
        <v>21.50888245953395</v>
      </c>
      <c r="AB71" s="57">
        <f t="shared" si="2"/>
        <v>21.715255214738029</v>
      </c>
      <c r="AC71" s="57">
        <f t="shared" si="2"/>
        <v>22.06613199022047</v>
      </c>
      <c r="AD71" s="57">
        <f t="shared" si="2"/>
        <v>23.186606036351758</v>
      </c>
      <c r="AE71" s="57">
        <f t="shared" si="2"/>
        <v>24.341991937086181</v>
      </c>
      <c r="AF71" s="57">
        <f t="shared" si="2"/>
        <v>23.004457248979769</v>
      </c>
    </row>
    <row r="72" spans="1:34" x14ac:dyDescent="0.25">
      <c r="A72" s="7" t="str">
        <f t="shared" si="1"/>
        <v>Total direct N2O emissions with N2O from LULUCF</v>
      </c>
      <c r="B72" s="57">
        <f t="shared" si="1"/>
        <v>26.227661646226469</v>
      </c>
      <c r="C72" s="57">
        <f t="shared" si="1"/>
        <v>26.227661646226469</v>
      </c>
      <c r="D72" s="57">
        <f t="shared" si="1"/>
        <v>25.54114757699584</v>
      </c>
      <c r="E72" s="57">
        <f t="shared" ref="E72:AF72" si="3">E55</f>
        <v>25.204417941327272</v>
      </c>
      <c r="F72" s="57">
        <f t="shared" si="3"/>
        <v>25.697521605793529</v>
      </c>
      <c r="G72" s="57">
        <f t="shared" si="3"/>
        <v>26.66019560145218</v>
      </c>
      <c r="H72" s="57">
        <f t="shared" si="3"/>
        <v>27.848538989904149</v>
      </c>
      <c r="I72" s="57">
        <f t="shared" si="3"/>
        <v>28.242940550096499</v>
      </c>
      <c r="J72" s="57">
        <f t="shared" si="3"/>
        <v>27.991006485181408</v>
      </c>
      <c r="K72" s="57">
        <f t="shared" si="3"/>
        <v>29.429943506676828</v>
      </c>
      <c r="L72" s="57">
        <f t="shared" si="3"/>
        <v>28.645206014373741</v>
      </c>
      <c r="M72" s="57">
        <f t="shared" si="3"/>
        <v>27.71314943954696</v>
      </c>
      <c r="N72" s="57">
        <f t="shared" si="3"/>
        <v>26.361520111669961</v>
      </c>
      <c r="O72" s="57">
        <f t="shared" si="3"/>
        <v>25.205268301960501</v>
      </c>
      <c r="P72" s="57">
        <f t="shared" si="3"/>
        <v>25.051707160096711</v>
      </c>
      <c r="Q72" s="57">
        <f t="shared" si="3"/>
        <v>24.4628018371635</v>
      </c>
      <c r="R72" s="57">
        <f t="shared" si="3"/>
        <v>24.09014417670684</v>
      </c>
      <c r="S72" s="57">
        <f t="shared" si="3"/>
        <v>23.416369558615369</v>
      </c>
      <c r="T72" s="57">
        <f t="shared" si="3"/>
        <v>22.587866931128591</v>
      </c>
      <c r="U72" s="57">
        <f t="shared" si="3"/>
        <v>22.52824456889773</v>
      </c>
      <c r="V72" s="57">
        <f t="shared" si="3"/>
        <v>21.984221435495591</v>
      </c>
      <c r="W72" s="57">
        <f t="shared" si="3"/>
        <v>23.20500683157471</v>
      </c>
      <c r="X72" s="57">
        <f t="shared" si="3"/>
        <v>21.5969237323845</v>
      </c>
      <c r="Y72" s="57">
        <f t="shared" si="3"/>
        <v>22.350835962576291</v>
      </c>
      <c r="Z72" s="57">
        <f t="shared" si="3"/>
        <v>23.861676615019551</v>
      </c>
      <c r="AA72" s="57">
        <f t="shared" si="3"/>
        <v>23.087068532383508</v>
      </c>
      <c r="AB72" s="57">
        <f t="shared" si="3"/>
        <v>23.139800195035772</v>
      </c>
      <c r="AC72" s="57">
        <f t="shared" si="3"/>
        <v>23.40291895350531</v>
      </c>
      <c r="AD72" s="57">
        <f t="shared" si="3"/>
        <v>24.736923302581051</v>
      </c>
      <c r="AE72" s="57">
        <f t="shared" si="3"/>
        <v>25.702323908143718</v>
      </c>
      <c r="AF72" s="57">
        <f t="shared" si="3"/>
        <v>24.338960161356191</v>
      </c>
    </row>
    <row r="73" spans="1:34" x14ac:dyDescent="0.25">
      <c r="A73" s="7" t="s">
        <v>186</v>
      </c>
      <c r="B73" s="59">
        <f>B71*$B$69</f>
        <v>7670.0637765125102</v>
      </c>
      <c r="C73" s="59">
        <f t="shared" ref="C73:AF73" si="4">C71*$B$69</f>
        <v>7670.0637765125102</v>
      </c>
      <c r="D73" s="59">
        <f t="shared" si="4"/>
        <v>7445.5783283438132</v>
      </c>
      <c r="E73" s="59">
        <f t="shared" si="4"/>
        <v>7380.8809517931813</v>
      </c>
      <c r="F73" s="59">
        <f t="shared" si="4"/>
        <v>7513.9161969592351</v>
      </c>
      <c r="G73" s="59">
        <f t="shared" si="4"/>
        <v>7791.202981745877</v>
      </c>
      <c r="H73" s="59">
        <f t="shared" si="4"/>
        <v>8105.6742836602962</v>
      </c>
      <c r="I73" s="59">
        <f t="shared" si="4"/>
        <v>8229.4876640019993</v>
      </c>
      <c r="J73" s="59">
        <f t="shared" si="4"/>
        <v>8138.5929293734371</v>
      </c>
      <c r="K73" s="59">
        <f t="shared" si="4"/>
        <v>8577.9963968809934</v>
      </c>
      <c r="L73" s="59">
        <f t="shared" si="4"/>
        <v>8351.6048530748139</v>
      </c>
      <c r="M73" s="59">
        <f t="shared" si="4"/>
        <v>8054.6384454137788</v>
      </c>
      <c r="N73" s="59">
        <f t="shared" si="4"/>
        <v>7579.9239571149701</v>
      </c>
      <c r="O73" s="59">
        <f t="shared" si="4"/>
        <v>7249.9295504538686</v>
      </c>
      <c r="P73" s="59">
        <f t="shared" si="4"/>
        <v>7152.1712555431614</v>
      </c>
      <c r="Q73" s="59">
        <f t="shared" si="4"/>
        <v>7017.3121144529186</v>
      </c>
      <c r="R73" s="59">
        <f t="shared" si="4"/>
        <v>6891.7534381688156</v>
      </c>
      <c r="S73" s="59">
        <f t="shared" si="4"/>
        <v>6681.2653834778139</v>
      </c>
      <c r="T73" s="59">
        <f t="shared" si="4"/>
        <v>6432.3523902435081</v>
      </c>
      <c r="U73" s="59">
        <f t="shared" si="4"/>
        <v>6386.8815896536316</v>
      </c>
      <c r="V73" s="59">
        <f t="shared" si="4"/>
        <v>6197.6581950888394</v>
      </c>
      <c r="W73" s="59">
        <f t="shared" si="4"/>
        <v>6451.0212196754392</v>
      </c>
      <c r="X73" s="59">
        <f t="shared" si="4"/>
        <v>6026.8079049132457</v>
      </c>
      <c r="Y73" s="59">
        <f t="shared" si="4"/>
        <v>6264.688533046924</v>
      </c>
      <c r="Z73" s="59">
        <f t="shared" si="4"/>
        <v>6680.6006154691568</v>
      </c>
      <c r="AA73" s="59">
        <f t="shared" si="4"/>
        <v>6409.6469729411174</v>
      </c>
      <c r="AB73" s="59">
        <f t="shared" si="4"/>
        <v>6471.1460539919326</v>
      </c>
      <c r="AC73" s="59">
        <f t="shared" si="4"/>
        <v>6575.7073330857002</v>
      </c>
      <c r="AD73" s="59">
        <f t="shared" si="4"/>
        <v>6909.6085988328241</v>
      </c>
      <c r="AE73" s="59">
        <f t="shared" si="4"/>
        <v>7253.9135972516824</v>
      </c>
      <c r="AF73" s="59">
        <f t="shared" si="4"/>
        <v>6855.3282601959709</v>
      </c>
    </row>
    <row r="74" spans="1:34" x14ac:dyDescent="0.25">
      <c r="A74" s="7" t="s">
        <v>187</v>
      </c>
      <c r="B74" s="59">
        <f>B72*$B$69</f>
        <v>7815.8431705754874</v>
      </c>
      <c r="C74" s="59">
        <f t="shared" ref="C74:AF74" si="5">C72*$B$69</f>
        <v>7815.8431705754874</v>
      </c>
      <c r="D74" s="59">
        <f t="shared" si="5"/>
        <v>7611.2619779447605</v>
      </c>
      <c r="E74" s="59">
        <f t="shared" si="5"/>
        <v>7510.9165465155265</v>
      </c>
      <c r="F74" s="59">
        <f t="shared" si="5"/>
        <v>7657.8614385264718</v>
      </c>
      <c r="G74" s="59">
        <f t="shared" si="5"/>
        <v>7944.7382892327496</v>
      </c>
      <c r="H74" s="59">
        <f t="shared" si="5"/>
        <v>8298.8646189914361</v>
      </c>
      <c r="I74" s="59">
        <f t="shared" si="5"/>
        <v>8416.396283928756</v>
      </c>
      <c r="J74" s="59">
        <f t="shared" si="5"/>
        <v>8341.3199325840596</v>
      </c>
      <c r="K74" s="59">
        <f t="shared" si="5"/>
        <v>8770.1231649896945</v>
      </c>
      <c r="L74" s="59">
        <f t="shared" si="5"/>
        <v>8536.2713922833755</v>
      </c>
      <c r="M74" s="59">
        <f t="shared" si="5"/>
        <v>8258.5185329849937</v>
      </c>
      <c r="N74" s="59">
        <f t="shared" si="5"/>
        <v>7855.7329932776483</v>
      </c>
      <c r="O74" s="59">
        <f t="shared" si="5"/>
        <v>7511.1699539842293</v>
      </c>
      <c r="P74" s="59">
        <f t="shared" si="5"/>
        <v>7465.4087337088204</v>
      </c>
      <c r="Q74" s="59">
        <f t="shared" si="5"/>
        <v>7289.9149474747228</v>
      </c>
      <c r="R74" s="59">
        <f t="shared" si="5"/>
        <v>7178.8629646586387</v>
      </c>
      <c r="S74" s="59">
        <f t="shared" si="5"/>
        <v>6978.0781284673794</v>
      </c>
      <c r="T74" s="59">
        <f t="shared" si="5"/>
        <v>6731.1843454763202</v>
      </c>
      <c r="U74" s="59">
        <f t="shared" si="5"/>
        <v>6713.4168815315234</v>
      </c>
      <c r="V74" s="59">
        <f t="shared" si="5"/>
        <v>6551.2979877776861</v>
      </c>
      <c r="W74" s="59">
        <f t="shared" si="5"/>
        <v>6915.0920358092635</v>
      </c>
      <c r="X74" s="59">
        <f t="shared" si="5"/>
        <v>6435.8832722505813</v>
      </c>
      <c r="Y74" s="59">
        <f t="shared" si="5"/>
        <v>6660.5491168477347</v>
      </c>
      <c r="Z74" s="59">
        <f t="shared" si="5"/>
        <v>7110.7796312758264</v>
      </c>
      <c r="AA74" s="59">
        <f t="shared" si="5"/>
        <v>6879.9464226502851</v>
      </c>
      <c r="AB74" s="59">
        <f t="shared" si="5"/>
        <v>6895.6604581206602</v>
      </c>
      <c r="AC74" s="59">
        <f t="shared" si="5"/>
        <v>6974.0698481445825</v>
      </c>
      <c r="AD74" s="59">
        <f t="shared" si="5"/>
        <v>7371.603144169153</v>
      </c>
      <c r="AE74" s="59">
        <f t="shared" si="5"/>
        <v>7659.2925246268278</v>
      </c>
      <c r="AF74" s="59">
        <f t="shared" si="5"/>
        <v>7253.0101280841445</v>
      </c>
    </row>
    <row r="79" spans="1:34" ht="34.5" x14ac:dyDescent="0.25">
      <c r="B79" s="7" t="s">
        <v>188</v>
      </c>
      <c r="C79" s="7" t="s">
        <v>1</v>
      </c>
      <c r="D79" s="61" t="s">
        <v>197</v>
      </c>
      <c r="E79" s="61" t="s">
        <v>334</v>
      </c>
      <c r="F79" s="61" t="s">
        <v>186</v>
      </c>
      <c r="G79" s="61" t="s">
        <v>187</v>
      </c>
      <c r="H79" s="116"/>
      <c r="I79" s="7" t="s">
        <v>319</v>
      </c>
    </row>
    <row r="80" spans="1:34" x14ac:dyDescent="0.25">
      <c r="B80" s="7">
        <v>265</v>
      </c>
      <c r="C80" s="7" t="s">
        <v>194</v>
      </c>
      <c r="D80" s="64">
        <v>25.738469048699699</v>
      </c>
      <c r="E80" s="115">
        <v>26.227661646226469</v>
      </c>
      <c r="F80" s="64">
        <f>D80*$B$80</f>
        <v>6820.6942979054202</v>
      </c>
      <c r="G80" s="64">
        <f>E80*$B$80</f>
        <v>6950.3303362500146</v>
      </c>
      <c r="H80" s="117"/>
      <c r="I80" s="62">
        <f>E80-D80</f>
        <v>0.48919259752677036</v>
      </c>
    </row>
    <row r="81" spans="3:9" x14ac:dyDescent="0.25">
      <c r="C81" s="7">
        <v>1990</v>
      </c>
      <c r="D81" s="64">
        <v>25.738469048699699</v>
      </c>
      <c r="E81" s="115">
        <v>26.227661646226469</v>
      </c>
      <c r="F81" s="64">
        <f t="shared" ref="F81:F110" si="6">D81*$B$80</f>
        <v>6820.6942979054202</v>
      </c>
      <c r="G81" s="64">
        <f t="shared" ref="G81:G110" si="7">E81*$B$80</f>
        <v>6950.3303362500146</v>
      </c>
      <c r="H81" s="117"/>
      <c r="I81" s="62">
        <f t="shared" ref="I81:I110" si="8">E81-D81</f>
        <v>0.48919259752677036</v>
      </c>
    </row>
    <row r="82" spans="3:9" x14ac:dyDescent="0.25">
      <c r="C82" s="7">
        <v>1991</v>
      </c>
      <c r="D82" s="64">
        <v>24.98516217565038</v>
      </c>
      <c r="E82" s="115">
        <v>25.54114757699584</v>
      </c>
      <c r="F82" s="64">
        <f t="shared" si="6"/>
        <v>6621.0679765473506</v>
      </c>
      <c r="G82" s="64">
        <f t="shared" si="7"/>
        <v>6768.404107903898</v>
      </c>
      <c r="H82" s="117"/>
      <c r="I82" s="62">
        <f t="shared" si="8"/>
        <v>0.55598540134545971</v>
      </c>
    </row>
    <row r="83" spans="3:9" x14ac:dyDescent="0.25">
      <c r="C83" s="7">
        <v>1992</v>
      </c>
      <c r="D83" s="64">
        <v>24.768056885212019</v>
      </c>
      <c r="E83" s="115">
        <v>25.204417941327272</v>
      </c>
      <c r="F83" s="64">
        <f t="shared" si="6"/>
        <v>6563.5350745811847</v>
      </c>
      <c r="G83" s="64">
        <f t="shared" si="7"/>
        <v>6679.1707544517267</v>
      </c>
      <c r="H83" s="117"/>
      <c r="I83" s="62">
        <f t="shared" si="8"/>
        <v>0.43636105611525267</v>
      </c>
    </row>
    <row r="84" spans="3:9" x14ac:dyDescent="0.25">
      <c r="C84" s="7">
        <v>1993</v>
      </c>
      <c r="D84" s="64">
        <v>25.214483882413539</v>
      </c>
      <c r="E84" s="115">
        <v>25.697521605793529</v>
      </c>
      <c r="F84" s="64">
        <f t="shared" si="6"/>
        <v>6681.8382288395878</v>
      </c>
      <c r="G84" s="64">
        <f t="shared" si="7"/>
        <v>6809.8432255352855</v>
      </c>
      <c r="H84" s="117"/>
      <c r="I84" s="62">
        <f t="shared" si="8"/>
        <v>0.48303772337999007</v>
      </c>
    </row>
    <row r="85" spans="3:9" x14ac:dyDescent="0.25">
      <c r="C85" s="7">
        <v>1994</v>
      </c>
      <c r="D85" s="64">
        <v>26.144976448811668</v>
      </c>
      <c r="E85" s="115">
        <v>26.66019560145218</v>
      </c>
      <c r="F85" s="64">
        <f t="shared" si="6"/>
        <v>6928.4187589350922</v>
      </c>
      <c r="G85" s="64">
        <f t="shared" si="7"/>
        <v>7064.9518343848276</v>
      </c>
      <c r="H85" s="117"/>
      <c r="I85" s="62">
        <f t="shared" si="8"/>
        <v>0.51521915264051188</v>
      </c>
    </row>
    <row r="86" spans="3:9" x14ac:dyDescent="0.25">
      <c r="C86" s="7">
        <v>1995</v>
      </c>
      <c r="D86" s="64">
        <v>27.20024927402784</v>
      </c>
      <c r="E86" s="115">
        <v>27.848538989904149</v>
      </c>
      <c r="F86" s="64">
        <f t="shared" si="6"/>
        <v>7208.0660576173777</v>
      </c>
      <c r="G86" s="64">
        <f t="shared" si="7"/>
        <v>7379.8628323245994</v>
      </c>
      <c r="H86" s="117"/>
      <c r="I86" s="62">
        <f t="shared" si="8"/>
        <v>0.64828971587630946</v>
      </c>
    </row>
    <row r="87" spans="3:9" x14ac:dyDescent="0.25">
      <c r="C87" s="7">
        <v>1996</v>
      </c>
      <c r="D87" s="64">
        <v>27.61573041611409</v>
      </c>
      <c r="E87" s="115">
        <v>28.242940550096499</v>
      </c>
      <c r="F87" s="64">
        <f t="shared" si="6"/>
        <v>7318.1685602702337</v>
      </c>
      <c r="G87" s="64">
        <f t="shared" si="7"/>
        <v>7484.3792457755726</v>
      </c>
      <c r="H87" s="117"/>
      <c r="I87" s="62">
        <f t="shared" si="8"/>
        <v>0.62721013398240899</v>
      </c>
    </row>
    <row r="88" spans="3:9" x14ac:dyDescent="0.25">
      <c r="C88" s="7">
        <v>1997</v>
      </c>
      <c r="D88" s="64">
        <v>27.310714528098782</v>
      </c>
      <c r="E88" s="115">
        <v>27.991006485181408</v>
      </c>
      <c r="F88" s="64">
        <f t="shared" si="6"/>
        <v>7237.3393499461772</v>
      </c>
      <c r="G88" s="64">
        <f t="shared" si="7"/>
        <v>7417.6167185730728</v>
      </c>
      <c r="H88" s="117"/>
      <c r="I88" s="62">
        <f t="shared" si="8"/>
        <v>0.68029195708262691</v>
      </c>
    </row>
    <row r="89" spans="3:9" x14ac:dyDescent="0.25">
      <c r="C89" s="7">
        <v>1998</v>
      </c>
      <c r="D89" s="64">
        <v>28.785222808325479</v>
      </c>
      <c r="E89" s="115">
        <v>29.429943506676828</v>
      </c>
      <c r="F89" s="64">
        <f t="shared" si="6"/>
        <v>7628.0840442062517</v>
      </c>
      <c r="G89" s="64">
        <f t="shared" si="7"/>
        <v>7798.9350292693598</v>
      </c>
      <c r="H89" s="117"/>
      <c r="I89" s="62">
        <f t="shared" si="8"/>
        <v>0.6447206983513496</v>
      </c>
    </row>
    <row r="90" spans="3:9" x14ac:dyDescent="0.25">
      <c r="C90" s="7">
        <v>1999</v>
      </c>
      <c r="D90" s="64">
        <v>28.025519641190652</v>
      </c>
      <c r="E90" s="115">
        <v>28.645206014373741</v>
      </c>
      <c r="F90" s="64">
        <f t="shared" si="6"/>
        <v>7426.7627049155226</v>
      </c>
      <c r="G90" s="64">
        <f t="shared" si="7"/>
        <v>7590.979593809041</v>
      </c>
      <c r="H90" s="117"/>
      <c r="I90" s="62">
        <f t="shared" si="8"/>
        <v>0.6196863731830895</v>
      </c>
    </row>
    <row r="91" spans="3:9" x14ac:dyDescent="0.25">
      <c r="C91" s="7">
        <v>2000</v>
      </c>
      <c r="D91" s="64">
        <v>27.028988071858318</v>
      </c>
      <c r="E91" s="115">
        <v>27.71314943954696</v>
      </c>
      <c r="F91" s="64">
        <f t="shared" si="6"/>
        <v>7162.6818390424542</v>
      </c>
      <c r="G91" s="64">
        <f t="shared" si="7"/>
        <v>7343.9846014799441</v>
      </c>
      <c r="H91" s="117"/>
      <c r="I91" s="62">
        <f t="shared" si="8"/>
        <v>0.68416136768864177</v>
      </c>
    </row>
    <row r="92" spans="3:9" x14ac:dyDescent="0.25">
      <c r="C92" s="7">
        <v>2001</v>
      </c>
      <c r="D92" s="64">
        <v>25.435986433271712</v>
      </c>
      <c r="E92" s="115">
        <v>26.361520111669961</v>
      </c>
      <c r="F92" s="64">
        <f t="shared" si="6"/>
        <v>6740.5364048170031</v>
      </c>
      <c r="G92" s="64">
        <f t="shared" si="7"/>
        <v>6985.8028295925396</v>
      </c>
      <c r="H92" s="117"/>
      <c r="I92" s="62">
        <f t="shared" si="8"/>
        <v>0.92553367839824929</v>
      </c>
    </row>
    <row r="93" spans="3:9" x14ac:dyDescent="0.25">
      <c r="C93" s="7">
        <v>2002</v>
      </c>
      <c r="D93" s="64">
        <v>24.328622652529759</v>
      </c>
      <c r="E93" s="115">
        <v>25.205268301960501</v>
      </c>
      <c r="F93" s="64">
        <f t="shared" si="6"/>
        <v>6447.0850029203866</v>
      </c>
      <c r="G93" s="64">
        <f t="shared" si="7"/>
        <v>6679.3961000195332</v>
      </c>
      <c r="H93" s="117"/>
      <c r="I93" s="62">
        <f t="shared" si="8"/>
        <v>0.87664564943074197</v>
      </c>
    </row>
    <row r="94" spans="3:9" x14ac:dyDescent="0.25">
      <c r="C94" s="7">
        <v>2003</v>
      </c>
      <c r="D94" s="64">
        <v>24.000574683030742</v>
      </c>
      <c r="E94" s="115">
        <v>25.051707160096711</v>
      </c>
      <c r="F94" s="64">
        <f t="shared" si="6"/>
        <v>6360.1522910031463</v>
      </c>
      <c r="G94" s="64">
        <f t="shared" si="7"/>
        <v>6638.7023974256281</v>
      </c>
      <c r="H94" s="117"/>
      <c r="I94" s="62">
        <f t="shared" si="8"/>
        <v>1.0511324770659698</v>
      </c>
    </row>
    <row r="95" spans="3:9" x14ac:dyDescent="0.25">
      <c r="C95" s="7">
        <v>2004</v>
      </c>
      <c r="D95" s="64">
        <v>23.548027229707781</v>
      </c>
      <c r="E95" s="115">
        <v>24.4628018371635</v>
      </c>
      <c r="F95" s="64">
        <f t="shared" si="6"/>
        <v>6240.2272158725618</v>
      </c>
      <c r="G95" s="64">
        <f t="shared" si="7"/>
        <v>6482.6424868483273</v>
      </c>
      <c r="H95" s="117"/>
      <c r="I95" s="62">
        <f t="shared" si="8"/>
        <v>0.91477460745571904</v>
      </c>
    </row>
    <row r="96" spans="3:9" x14ac:dyDescent="0.25">
      <c r="C96" s="7">
        <v>2005</v>
      </c>
      <c r="D96" s="64">
        <v>23.12668938982824</v>
      </c>
      <c r="E96" s="115">
        <v>24.09014417670684</v>
      </c>
      <c r="F96" s="64">
        <f t="shared" si="6"/>
        <v>6128.5726883044836</v>
      </c>
      <c r="G96" s="64">
        <f t="shared" si="7"/>
        <v>6383.8882068273124</v>
      </c>
      <c r="H96" s="117"/>
      <c r="I96" s="62">
        <f t="shared" si="8"/>
        <v>0.96345478687860009</v>
      </c>
    </row>
    <row r="97" spans="3:9" x14ac:dyDescent="0.25">
      <c r="C97" s="7">
        <v>2006</v>
      </c>
      <c r="D97" s="64">
        <v>22.420353635831589</v>
      </c>
      <c r="E97" s="115">
        <v>23.416369558615369</v>
      </c>
      <c r="F97" s="64">
        <f t="shared" si="6"/>
        <v>5941.3937134953712</v>
      </c>
      <c r="G97" s="64">
        <f t="shared" si="7"/>
        <v>6205.3379330330727</v>
      </c>
      <c r="H97" s="117"/>
      <c r="I97" s="62">
        <f t="shared" si="8"/>
        <v>0.99601592278377993</v>
      </c>
    </row>
    <row r="98" spans="3:9" x14ac:dyDescent="0.25">
      <c r="C98" s="7">
        <v>2007</v>
      </c>
      <c r="D98" s="64">
        <v>21.585075135045329</v>
      </c>
      <c r="E98" s="115">
        <v>22.587866931128591</v>
      </c>
      <c r="F98" s="64">
        <f t="shared" si="6"/>
        <v>5720.0449107870127</v>
      </c>
      <c r="G98" s="64">
        <f t="shared" si="7"/>
        <v>5985.7847367490767</v>
      </c>
      <c r="H98" s="117"/>
      <c r="I98" s="62">
        <f t="shared" si="8"/>
        <v>1.0027917960832617</v>
      </c>
    </row>
    <row r="99" spans="3:9" x14ac:dyDescent="0.25">
      <c r="C99" s="7">
        <v>2008</v>
      </c>
      <c r="D99" s="64">
        <v>21.432488555884671</v>
      </c>
      <c r="E99" s="115">
        <v>22.52824456889773</v>
      </c>
      <c r="F99" s="64">
        <f t="shared" si="6"/>
        <v>5679.6094673094376</v>
      </c>
      <c r="G99" s="64">
        <f t="shared" si="7"/>
        <v>5969.9848107578982</v>
      </c>
      <c r="H99" s="117"/>
      <c r="I99" s="62">
        <f t="shared" si="8"/>
        <v>1.0957560130130588</v>
      </c>
    </row>
    <row r="100" spans="3:9" x14ac:dyDescent="0.25">
      <c r="C100" s="7">
        <v>2009</v>
      </c>
      <c r="D100" s="64">
        <v>20.797510721774628</v>
      </c>
      <c r="E100" s="115">
        <v>21.984221435495591</v>
      </c>
      <c r="F100" s="64">
        <f t="shared" si="6"/>
        <v>5511.3403412702764</v>
      </c>
      <c r="G100" s="64">
        <f t="shared" si="7"/>
        <v>5825.8186804063316</v>
      </c>
      <c r="H100" s="117"/>
      <c r="I100" s="62">
        <f t="shared" si="8"/>
        <v>1.1867107137209629</v>
      </c>
    </row>
    <row r="101" spans="3:9" x14ac:dyDescent="0.25">
      <c r="C101" s="7">
        <v>2010</v>
      </c>
      <c r="D101" s="64">
        <v>21.647722213675969</v>
      </c>
      <c r="E101" s="115">
        <v>23.20500683157471</v>
      </c>
      <c r="F101" s="64">
        <f t="shared" si="6"/>
        <v>5736.646386624132</v>
      </c>
      <c r="G101" s="64">
        <f t="shared" si="7"/>
        <v>6149.3268103672981</v>
      </c>
      <c r="H101" s="117"/>
      <c r="I101" s="62">
        <f t="shared" si="8"/>
        <v>1.5572846178987412</v>
      </c>
    </row>
    <row r="102" spans="3:9" x14ac:dyDescent="0.25">
      <c r="C102" s="7">
        <v>2011</v>
      </c>
      <c r="D102" s="64">
        <v>20.22418760038002</v>
      </c>
      <c r="E102" s="115">
        <v>21.5969237323845</v>
      </c>
      <c r="F102" s="64">
        <f t="shared" si="6"/>
        <v>5359.4097141007051</v>
      </c>
      <c r="G102" s="64">
        <f t="shared" si="7"/>
        <v>5723.1847890818926</v>
      </c>
      <c r="H102" s="117"/>
      <c r="I102" s="62">
        <f t="shared" si="8"/>
        <v>1.37273613200448</v>
      </c>
    </row>
    <row r="103" spans="3:9" x14ac:dyDescent="0.25">
      <c r="C103" s="7">
        <v>2012</v>
      </c>
      <c r="D103" s="64">
        <v>21.022444741768201</v>
      </c>
      <c r="E103" s="115">
        <v>22.350835962576291</v>
      </c>
      <c r="F103" s="64">
        <f t="shared" si="6"/>
        <v>5570.9478565685731</v>
      </c>
      <c r="G103" s="64">
        <f t="shared" si="7"/>
        <v>5922.9715300827174</v>
      </c>
      <c r="H103" s="117"/>
      <c r="I103" s="62">
        <f t="shared" si="8"/>
        <v>1.3283912208080899</v>
      </c>
    </row>
    <row r="104" spans="3:9" x14ac:dyDescent="0.25">
      <c r="C104" s="7">
        <v>2013</v>
      </c>
      <c r="D104" s="64">
        <v>22.418122870701868</v>
      </c>
      <c r="E104" s="115">
        <v>23.861676615019551</v>
      </c>
      <c r="F104" s="64">
        <f t="shared" si="6"/>
        <v>5940.802560735995</v>
      </c>
      <c r="G104" s="64">
        <f t="shared" si="7"/>
        <v>6323.3443029801811</v>
      </c>
      <c r="H104" s="117"/>
      <c r="I104" s="62">
        <f t="shared" si="8"/>
        <v>1.4435537443176827</v>
      </c>
    </row>
    <row r="105" spans="3:9" x14ac:dyDescent="0.25">
      <c r="C105" s="7">
        <v>2014</v>
      </c>
      <c r="D105" s="64">
        <v>21.50888245953395</v>
      </c>
      <c r="E105" s="115">
        <v>23.087068532383508</v>
      </c>
      <c r="F105" s="64">
        <f t="shared" si="6"/>
        <v>5699.8538517764964</v>
      </c>
      <c r="G105" s="64">
        <f t="shared" si="7"/>
        <v>6118.0731610816301</v>
      </c>
      <c r="H105" s="117"/>
      <c r="I105" s="62">
        <f t="shared" si="8"/>
        <v>1.578186072849558</v>
      </c>
    </row>
    <row r="106" spans="3:9" x14ac:dyDescent="0.25">
      <c r="C106" s="7">
        <v>2015</v>
      </c>
      <c r="D106" s="64">
        <v>21.715255214738029</v>
      </c>
      <c r="E106" s="115">
        <v>23.139800195035772</v>
      </c>
      <c r="F106" s="64">
        <f t="shared" si="6"/>
        <v>5754.5426319055778</v>
      </c>
      <c r="G106" s="64">
        <f t="shared" si="7"/>
        <v>6132.0470516844798</v>
      </c>
      <c r="H106" s="117"/>
      <c r="I106" s="62">
        <f t="shared" si="8"/>
        <v>1.4245449802977426</v>
      </c>
    </row>
    <row r="107" spans="3:9" x14ac:dyDescent="0.25">
      <c r="C107" s="7">
        <v>2016</v>
      </c>
      <c r="D107" s="64">
        <v>22.06613199022047</v>
      </c>
      <c r="E107" s="115">
        <v>23.40291895350531</v>
      </c>
      <c r="F107" s="64">
        <f t="shared" si="6"/>
        <v>5847.5249774084241</v>
      </c>
      <c r="G107" s="64">
        <f t="shared" si="7"/>
        <v>6201.7735226789073</v>
      </c>
      <c r="H107" s="117"/>
      <c r="I107" s="62">
        <f t="shared" si="8"/>
        <v>1.3367869632848404</v>
      </c>
    </row>
    <row r="108" spans="3:9" x14ac:dyDescent="0.25">
      <c r="C108" s="7">
        <v>2017</v>
      </c>
      <c r="D108" s="64">
        <v>23.186606036351758</v>
      </c>
      <c r="E108" s="115">
        <v>24.736923302581051</v>
      </c>
      <c r="F108" s="64">
        <f t="shared" si="6"/>
        <v>6144.4505996332164</v>
      </c>
      <c r="G108" s="64">
        <f t="shared" si="7"/>
        <v>6555.2846751839788</v>
      </c>
      <c r="H108" s="117"/>
      <c r="I108" s="62">
        <f t="shared" si="8"/>
        <v>1.5503172662292926</v>
      </c>
    </row>
    <row r="109" spans="3:9" x14ac:dyDescent="0.25">
      <c r="C109" s="7">
        <v>2018</v>
      </c>
      <c r="D109" s="64">
        <v>24.341991937086181</v>
      </c>
      <c r="E109" s="115">
        <v>25.702323908143718</v>
      </c>
      <c r="F109" s="64">
        <f t="shared" si="6"/>
        <v>6450.627863327838</v>
      </c>
      <c r="G109" s="64">
        <f t="shared" si="7"/>
        <v>6811.1158356580854</v>
      </c>
      <c r="H109" s="117"/>
      <c r="I109" s="62">
        <f t="shared" si="8"/>
        <v>1.360331971057537</v>
      </c>
    </row>
    <row r="110" spans="3:9" x14ac:dyDescent="0.25">
      <c r="C110" s="7">
        <v>2019</v>
      </c>
      <c r="D110" s="64">
        <v>23.004457248979769</v>
      </c>
      <c r="E110" s="115">
        <v>24.338960161356191</v>
      </c>
      <c r="F110" s="64">
        <f t="shared" si="6"/>
        <v>6096.1811709796384</v>
      </c>
      <c r="G110" s="64">
        <f t="shared" si="7"/>
        <v>6449.8244427593909</v>
      </c>
      <c r="H110" s="117"/>
      <c r="I110" s="62">
        <f t="shared" si="8"/>
        <v>1.334502912376422</v>
      </c>
    </row>
    <row r="111" spans="3:9" x14ac:dyDescent="0.25">
      <c r="H111" s="118"/>
    </row>
  </sheetData>
  <sheetProtection algorithmName="SHA-512" hashValue="TPjS085N85NKyi+Es3xJV2lMjqy5BHDE1seByKS8PzKRA4jf9uBAaJe4AcXSvi+2sIPyZJRwPQwn5TPxrNSlgQ==" saltValue="d3PG+Ttsi7DfGv/MGc90mA==" spinCount="100000" sheet="1" objects="1" scenarios="1"/>
  <mergeCells count="2">
    <mergeCell ref="A5:A6"/>
    <mergeCell ref="B6:Z6"/>
  </mergeCells>
  <dataValidations count="1">
    <dataValidation allowBlank="1" showInputMessage="1" showErrorMessage="1" sqref="AI69:JX1048576 AH71:AH1048576 AJ5:JY68 AI1:JX4 A71:AG65535" xr:uid="{00000000-0002-0000-1D00-000000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M123"/>
  <sheetViews>
    <sheetView zoomScale="70" zoomScaleNormal="70" workbookViewId="0">
      <selection activeCell="AG85" sqref="AG85"/>
    </sheetView>
  </sheetViews>
  <sheetFormatPr defaultColWidth="9.1796875" defaultRowHeight="11.5" x14ac:dyDescent="0.25"/>
  <cols>
    <col min="1" max="1" width="102.1796875" style="7" bestFit="1" customWidth="1"/>
    <col min="2" max="35" width="21.7265625" style="7" customWidth="1"/>
    <col min="36" max="36" width="15.7265625" style="7" customWidth="1"/>
    <col min="37" max="16384" width="9.1796875" style="7"/>
  </cols>
  <sheetData>
    <row r="1" spans="1:35" ht="15" x14ac:dyDescent="0.25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 t="s">
        <v>12</v>
      </c>
    </row>
    <row r="2" spans="1:35" ht="18" x14ac:dyDescent="0.25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 t="s">
        <v>14</v>
      </c>
    </row>
    <row r="3" spans="1:35" ht="15" x14ac:dyDescent="0.25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 t="s">
        <v>16</v>
      </c>
    </row>
    <row r="4" spans="1:3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5" ht="23" x14ac:dyDescent="0.25">
      <c r="A5" s="8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/>
      <c r="P5" s="9"/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10" t="s">
        <v>49</v>
      </c>
    </row>
    <row r="6" spans="1:35" ht="15.75" customHeight="1" thickBot="1" x14ac:dyDescent="0.3">
      <c r="A6" s="11"/>
      <c r="B6" s="213" t="s">
        <v>50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12" t="s">
        <v>51</v>
      </c>
    </row>
    <row r="7" spans="1:35" ht="14.5" thickTop="1" x14ac:dyDescent="0.25">
      <c r="A7" s="13" t="s">
        <v>52</v>
      </c>
      <c r="B7" s="14">
        <v>59531.399447095057</v>
      </c>
      <c r="C7" s="14">
        <v>59531.399447095057</v>
      </c>
      <c r="D7" s="14">
        <v>60185.148553503874</v>
      </c>
      <c r="E7" s="14">
        <v>59886.679157454462</v>
      </c>
      <c r="F7" s="14">
        <v>60342.600017744255</v>
      </c>
      <c r="G7" s="14">
        <v>61923.850459232621</v>
      </c>
      <c r="H7" s="14">
        <v>64431.413620525171</v>
      </c>
      <c r="I7" s="14">
        <v>66196.016708350144</v>
      </c>
      <c r="J7" s="14">
        <v>66958.620036340653</v>
      </c>
      <c r="K7" s="14">
        <v>69312.521578645537</v>
      </c>
      <c r="L7" s="14">
        <v>70689.539628897022</v>
      </c>
      <c r="M7" s="14">
        <v>74343.379476062983</v>
      </c>
      <c r="N7" s="14">
        <v>77683.205512489047</v>
      </c>
      <c r="O7" s="14"/>
      <c r="P7" s="14"/>
      <c r="Q7" s="14">
        <v>75457.886042333281</v>
      </c>
      <c r="R7" s="14">
        <v>76166.042369249437</v>
      </c>
      <c r="S7" s="14">
        <v>73855.218863784845</v>
      </c>
      <c r="T7" s="14">
        <v>76248.521422779973</v>
      </c>
      <c r="U7" s="14">
        <v>76031.092565587387</v>
      </c>
      <c r="V7" s="14">
        <v>74214.520904695426</v>
      </c>
      <c r="W7" s="14">
        <v>72976.965725298927</v>
      </c>
      <c r="X7" s="14">
        <v>66926.966812323357</v>
      </c>
      <c r="Y7" s="14">
        <v>68191.858870432858</v>
      </c>
      <c r="Z7" s="14">
        <v>63279.047530669086</v>
      </c>
      <c r="AA7" s="14">
        <v>63238.000374156785</v>
      </c>
      <c r="AB7" s="14">
        <v>63144.63786675853</v>
      </c>
      <c r="AC7" s="14">
        <v>63999.34806238184</v>
      </c>
      <c r="AD7" s="14">
        <v>66010.229193706022</v>
      </c>
      <c r="AE7" s="14">
        <v>67459.168937060633</v>
      </c>
      <c r="AF7" s="14">
        <v>68600.543840170969</v>
      </c>
      <c r="AG7" s="14">
        <v>67312.041310940345</v>
      </c>
      <c r="AH7" s="14">
        <v>64220.259223526271</v>
      </c>
      <c r="AI7" s="14">
        <v>7.8762801143249996</v>
      </c>
    </row>
    <row r="8" spans="1:35" x14ac:dyDescent="0.25">
      <c r="A8" s="15" t="s">
        <v>53</v>
      </c>
      <c r="B8" s="14">
        <v>31023.690384918958</v>
      </c>
      <c r="C8" s="14">
        <v>31023.690384918958</v>
      </c>
      <c r="D8" s="14">
        <v>31876.18736884091</v>
      </c>
      <c r="E8" s="14">
        <v>31766.363756862629</v>
      </c>
      <c r="F8" s="14">
        <v>31944.812503341363</v>
      </c>
      <c r="G8" s="14">
        <v>32913.519562488334</v>
      </c>
      <c r="H8" s="14">
        <v>33825.090760565188</v>
      </c>
      <c r="I8" s="14">
        <v>35441.439655081616</v>
      </c>
      <c r="J8" s="14">
        <v>36550.869404379402</v>
      </c>
      <c r="K8" s="14">
        <v>38768.920559144775</v>
      </c>
      <c r="L8" s="14">
        <v>40181.417565669093</v>
      </c>
      <c r="M8" s="14">
        <v>42491.738789773757</v>
      </c>
      <c r="N8" s="14">
        <v>44599.605310163643</v>
      </c>
      <c r="O8" s="14"/>
      <c r="P8" s="14"/>
      <c r="Q8" s="14">
        <v>43379.042287522316</v>
      </c>
      <c r="R8" s="14">
        <v>44013.927359340887</v>
      </c>
      <c r="S8" s="14">
        <v>43812.145548558452</v>
      </c>
      <c r="T8" s="14">
        <v>45716.920296932782</v>
      </c>
      <c r="U8" s="14">
        <v>45231.748936405536</v>
      </c>
      <c r="V8" s="14">
        <v>45164.667614510807</v>
      </c>
      <c r="W8" s="14">
        <v>45272.526369067644</v>
      </c>
      <c r="X8" s="14">
        <v>40799.283398390369</v>
      </c>
      <c r="Y8" s="14">
        <v>40473.418241163519</v>
      </c>
      <c r="Z8" s="14">
        <v>36970.518015679459</v>
      </c>
      <c r="AA8" s="14">
        <v>37031.455382931934</v>
      </c>
      <c r="AB8" s="14">
        <v>35878.264454591095</v>
      </c>
      <c r="AC8" s="14">
        <v>35245.637997645441</v>
      </c>
      <c r="AD8" s="14">
        <v>36820.799759750153</v>
      </c>
      <c r="AE8" s="14">
        <v>38135.786779771821</v>
      </c>
      <c r="AF8" s="14">
        <v>37120.027439487596</v>
      </c>
      <c r="AG8" s="14">
        <v>37030.034055620599</v>
      </c>
      <c r="AH8" s="14">
        <v>35209.063218097981</v>
      </c>
      <c r="AI8" s="14">
        <v>13.490892866871</v>
      </c>
    </row>
    <row r="9" spans="1:35" x14ac:dyDescent="0.25">
      <c r="A9" s="16" t="s">
        <v>54</v>
      </c>
      <c r="B9" s="14">
        <v>30919.270571485689</v>
      </c>
      <c r="C9" s="14">
        <v>30919.270571485689</v>
      </c>
      <c r="D9" s="14">
        <v>31781.180484407287</v>
      </c>
      <c r="E9" s="14">
        <v>31676.072779391277</v>
      </c>
      <c r="F9" s="14">
        <v>31850.946612670239</v>
      </c>
      <c r="G9" s="14">
        <v>32821.01389974534</v>
      </c>
      <c r="H9" s="14">
        <v>33732.222281775365</v>
      </c>
      <c r="I9" s="14">
        <v>35348.470835995977</v>
      </c>
      <c r="J9" s="14">
        <v>36460.13819052538</v>
      </c>
      <c r="K9" s="14">
        <v>38691.565792753718</v>
      </c>
      <c r="L9" s="14">
        <v>40064.833762475617</v>
      </c>
      <c r="M9" s="14">
        <v>42411.046656590595</v>
      </c>
      <c r="N9" s="14">
        <v>44449.611947253768</v>
      </c>
      <c r="O9" s="14"/>
      <c r="P9" s="14"/>
      <c r="Q9" s="14">
        <v>43307.549376950163</v>
      </c>
      <c r="R9" s="14">
        <v>43274.910309482904</v>
      </c>
      <c r="S9" s="14">
        <v>43732.485872028301</v>
      </c>
      <c r="T9" s="14">
        <v>45645.989178030111</v>
      </c>
      <c r="U9" s="14">
        <v>45149.336163329768</v>
      </c>
      <c r="V9" s="14">
        <v>45074.045643532409</v>
      </c>
      <c r="W9" s="14">
        <v>45187.450715465224</v>
      </c>
      <c r="X9" s="14">
        <v>40718.824645306391</v>
      </c>
      <c r="Y9" s="14">
        <v>40386.454677745751</v>
      </c>
      <c r="Z9" s="14">
        <v>36890.919447582033</v>
      </c>
      <c r="AA9" s="14">
        <v>36953.399269631787</v>
      </c>
      <c r="AB9" s="14">
        <v>35802.089146844119</v>
      </c>
      <c r="AC9" s="14">
        <v>35173.796220549106</v>
      </c>
      <c r="AD9" s="14">
        <v>36748.145817313685</v>
      </c>
      <c r="AE9" s="14">
        <v>38062.299571103664</v>
      </c>
      <c r="AF9" s="14">
        <v>37041.062047864543</v>
      </c>
      <c r="AG9" s="14">
        <v>36949.627239201145</v>
      </c>
      <c r="AH9" s="14">
        <v>35131.808889066779</v>
      </c>
      <c r="AI9" s="14">
        <v>13.624313380361</v>
      </c>
    </row>
    <row r="10" spans="1:35" x14ac:dyDescent="0.25">
      <c r="A10" s="17" t="s">
        <v>55</v>
      </c>
      <c r="B10" s="18">
        <v>11223.126727997158</v>
      </c>
      <c r="C10" s="18">
        <v>11223.126727997158</v>
      </c>
      <c r="D10" s="18">
        <v>11684.21616954801</v>
      </c>
      <c r="E10" s="18">
        <v>12345.631586408672</v>
      </c>
      <c r="F10" s="18">
        <v>12361.503535976541</v>
      </c>
      <c r="G10" s="18">
        <v>12698.964605169616</v>
      </c>
      <c r="H10" s="18">
        <v>13383.629051628215</v>
      </c>
      <c r="I10" s="18">
        <v>14103.622705934598</v>
      </c>
      <c r="J10" s="18">
        <v>14761.014389242522</v>
      </c>
      <c r="K10" s="18">
        <v>15141.535204543825</v>
      </c>
      <c r="L10" s="18">
        <v>15800.052247276677</v>
      </c>
      <c r="M10" s="18">
        <v>16116.301209055913</v>
      </c>
      <c r="N10" s="18">
        <v>17334.222532490629</v>
      </c>
      <c r="O10" s="18"/>
      <c r="P10" s="18"/>
      <c r="Q10" s="18">
        <v>16419.82729101825</v>
      </c>
      <c r="R10" s="18">
        <v>15725.698454375983</v>
      </c>
      <c r="S10" s="18">
        <v>15335.108711174187</v>
      </c>
      <c r="T10" s="18">
        <v>15828.510080063286</v>
      </c>
      <c r="U10" s="18">
        <v>15076.623744974208</v>
      </c>
      <c r="V10" s="18">
        <v>14583.002672790353</v>
      </c>
      <c r="W10" s="18">
        <v>14710.482840435316</v>
      </c>
      <c r="X10" s="18">
        <v>13119.10895261969</v>
      </c>
      <c r="Y10" s="18">
        <v>13380.237649223262</v>
      </c>
      <c r="Z10" s="18">
        <v>11980.042900755834</v>
      </c>
      <c r="AA10" s="18">
        <v>12810.126722470795</v>
      </c>
      <c r="AB10" s="18">
        <v>11434.111674230386</v>
      </c>
      <c r="AC10" s="18">
        <v>11252.048327685388</v>
      </c>
      <c r="AD10" s="18">
        <v>11875.456076772898</v>
      </c>
      <c r="AE10" s="19">
        <v>12589.314856223216</v>
      </c>
      <c r="AF10" s="19">
        <v>11819.693814408549</v>
      </c>
      <c r="AG10" s="19">
        <v>10552.068846727849</v>
      </c>
      <c r="AH10" s="19">
        <v>9367.9953280659993</v>
      </c>
      <c r="AI10" s="18">
        <v>-16.529541587581001</v>
      </c>
    </row>
    <row r="11" spans="1:35" x14ac:dyDescent="0.25">
      <c r="A11" s="17" t="s">
        <v>56</v>
      </c>
      <c r="B11" s="18">
        <v>4097.8246571951686</v>
      </c>
      <c r="C11" s="18">
        <v>4097.8246571951686</v>
      </c>
      <c r="D11" s="18">
        <v>4185.9692200247237</v>
      </c>
      <c r="E11" s="18">
        <v>3862.6796578089397</v>
      </c>
      <c r="F11" s="18">
        <v>4071.5974661162445</v>
      </c>
      <c r="G11" s="18">
        <v>4312.1678188262131</v>
      </c>
      <c r="H11" s="18">
        <v>4331.2989769779224</v>
      </c>
      <c r="I11" s="18">
        <v>4198.387098738619</v>
      </c>
      <c r="J11" s="18">
        <v>4541.4705513013851</v>
      </c>
      <c r="K11" s="18">
        <v>4524.358152833317</v>
      </c>
      <c r="L11" s="18">
        <v>4694.5944778590674</v>
      </c>
      <c r="M11" s="18">
        <v>5479.7901103896802</v>
      </c>
      <c r="N11" s="18">
        <v>5444.7030775496451</v>
      </c>
      <c r="O11" s="18"/>
      <c r="P11" s="18"/>
      <c r="Q11" s="18">
        <v>5107.658274909345</v>
      </c>
      <c r="R11" s="18">
        <v>5221.7570730151629</v>
      </c>
      <c r="S11" s="18">
        <v>5292.5142515755679</v>
      </c>
      <c r="T11" s="18">
        <v>5471.8142700518538</v>
      </c>
      <c r="U11" s="18">
        <v>5260.863542092452</v>
      </c>
      <c r="V11" s="18">
        <v>5348.6656747575917</v>
      </c>
      <c r="W11" s="18">
        <v>5158.2581586382066</v>
      </c>
      <c r="X11" s="18">
        <v>4135.3775859970538</v>
      </c>
      <c r="Y11" s="18">
        <v>4164.4953133158961</v>
      </c>
      <c r="Z11" s="18">
        <v>3689.8780468680575</v>
      </c>
      <c r="AA11" s="18">
        <v>3757.1285209171733</v>
      </c>
      <c r="AB11" s="18">
        <v>3920.6308441800338</v>
      </c>
      <c r="AC11" s="18">
        <v>4179.1255884352422</v>
      </c>
      <c r="AD11" s="18">
        <v>4261.1194586546098</v>
      </c>
      <c r="AE11" s="19">
        <v>4352.2552640191889</v>
      </c>
      <c r="AF11" s="19">
        <v>4461.781947552694</v>
      </c>
      <c r="AG11" s="19">
        <v>4684.9169594240057</v>
      </c>
      <c r="AH11" s="19">
        <v>4589.2031287031723</v>
      </c>
      <c r="AI11" s="18">
        <v>11.991202958019</v>
      </c>
    </row>
    <row r="12" spans="1:35" x14ac:dyDescent="0.25">
      <c r="A12" s="17" t="s">
        <v>57</v>
      </c>
      <c r="B12" s="18">
        <v>5148.4434985780636</v>
      </c>
      <c r="C12" s="18">
        <v>5148.4434985780636</v>
      </c>
      <c r="D12" s="18">
        <v>5328.9796285487446</v>
      </c>
      <c r="E12" s="18">
        <v>5757.6940966485872</v>
      </c>
      <c r="F12" s="18">
        <v>5734.42846702113</v>
      </c>
      <c r="G12" s="18">
        <v>5986.4371118693207</v>
      </c>
      <c r="H12" s="18">
        <v>6280.3359897314158</v>
      </c>
      <c r="I12" s="18">
        <v>7334.5998000014924</v>
      </c>
      <c r="J12" s="18">
        <v>7713.200774216496</v>
      </c>
      <c r="K12" s="18">
        <v>9065.955495239803</v>
      </c>
      <c r="L12" s="18">
        <v>9758.7842932715848</v>
      </c>
      <c r="M12" s="18">
        <v>10802.311187767995</v>
      </c>
      <c r="N12" s="18">
        <v>11325.90602420223</v>
      </c>
      <c r="O12" s="18"/>
      <c r="P12" s="18"/>
      <c r="Q12" s="18">
        <v>11518.698481029349</v>
      </c>
      <c r="R12" s="18">
        <v>11720.564586038345</v>
      </c>
      <c r="S12" s="18">
        <v>12438.857642145525</v>
      </c>
      <c r="T12" s="18">
        <v>13147.971867264327</v>
      </c>
      <c r="U12" s="18">
        <v>13825.682770177807</v>
      </c>
      <c r="V12" s="18">
        <v>14411.614846901217</v>
      </c>
      <c r="W12" s="18">
        <v>13681.36020794555</v>
      </c>
      <c r="X12" s="18">
        <v>12461.382220154243</v>
      </c>
      <c r="Y12" s="18">
        <v>11545.356663145498</v>
      </c>
      <c r="Z12" s="18">
        <v>11235.627493134873</v>
      </c>
      <c r="AA12" s="18">
        <v>10847.131843397074</v>
      </c>
      <c r="AB12" s="18">
        <v>11081.880919665993</v>
      </c>
      <c r="AC12" s="18">
        <v>11365.830237442362</v>
      </c>
      <c r="AD12" s="18">
        <v>11833.684482799017</v>
      </c>
      <c r="AE12" s="19">
        <v>12316.461897778501</v>
      </c>
      <c r="AF12" s="19">
        <v>12036.989271019431</v>
      </c>
      <c r="AG12" s="19">
        <v>12236.994731157414</v>
      </c>
      <c r="AH12" s="19">
        <v>12199.803134681715</v>
      </c>
      <c r="AI12" s="18">
        <v>136.96099875722001</v>
      </c>
    </row>
    <row r="13" spans="1:35" x14ac:dyDescent="0.25">
      <c r="A13" s="17" t="s">
        <v>58</v>
      </c>
      <c r="B13" s="18">
        <v>10449.875687715299</v>
      </c>
      <c r="C13" s="18">
        <v>10449.875687715299</v>
      </c>
      <c r="D13" s="18">
        <v>10582.015466285808</v>
      </c>
      <c r="E13" s="18">
        <v>9710.0674385250804</v>
      </c>
      <c r="F13" s="18">
        <v>9683.4171435563239</v>
      </c>
      <c r="G13" s="18">
        <v>9823.4443638801913</v>
      </c>
      <c r="H13" s="18">
        <v>9736.9582634378112</v>
      </c>
      <c r="I13" s="18">
        <v>9711.8612313212652</v>
      </c>
      <c r="J13" s="18">
        <v>9444.452475764976</v>
      </c>
      <c r="K13" s="18">
        <v>9959.7169401367719</v>
      </c>
      <c r="L13" s="18">
        <v>9811.4027440682876</v>
      </c>
      <c r="M13" s="18">
        <v>10012.644149377007</v>
      </c>
      <c r="N13" s="18">
        <v>10344.780313011268</v>
      </c>
      <c r="O13" s="18"/>
      <c r="P13" s="18"/>
      <c r="Q13" s="18">
        <v>10261.365329993218</v>
      </c>
      <c r="R13" s="18">
        <v>10606.890196053409</v>
      </c>
      <c r="S13" s="18">
        <v>10666.005267133018</v>
      </c>
      <c r="T13" s="18">
        <v>11197.692960650646</v>
      </c>
      <c r="U13" s="18">
        <v>10986.1661060853</v>
      </c>
      <c r="V13" s="18">
        <v>10730.762449083244</v>
      </c>
      <c r="W13" s="18">
        <v>11637.349508446148</v>
      </c>
      <c r="X13" s="18">
        <v>11002.955886535403</v>
      </c>
      <c r="Y13" s="18">
        <v>11296.365052061095</v>
      </c>
      <c r="Z13" s="18">
        <v>9985.3710068232704</v>
      </c>
      <c r="AA13" s="18">
        <v>9539.0121828467472</v>
      </c>
      <c r="AB13" s="18">
        <v>9365.4657087677024</v>
      </c>
      <c r="AC13" s="18">
        <v>8376.7920669861105</v>
      </c>
      <c r="AD13" s="18">
        <v>8777.8857990871566</v>
      </c>
      <c r="AE13" s="19">
        <v>8804.2675530827546</v>
      </c>
      <c r="AF13" s="19">
        <v>8722.5970148838715</v>
      </c>
      <c r="AG13" s="19">
        <v>9475.6467018918756</v>
      </c>
      <c r="AH13" s="19">
        <v>8974.807297615891</v>
      </c>
      <c r="AI13" s="18">
        <v>-14.115654905192001</v>
      </c>
    </row>
    <row r="14" spans="1:35" x14ac:dyDescent="0.25">
      <c r="A14" s="17" t="s">
        <v>59</v>
      </c>
      <c r="B14" s="18" t="s">
        <v>60</v>
      </c>
      <c r="C14" s="18" t="s">
        <v>60</v>
      </c>
      <c r="D14" s="18" t="s">
        <v>60</v>
      </c>
      <c r="E14" s="18" t="s">
        <v>60</v>
      </c>
      <c r="F14" s="18" t="s">
        <v>60</v>
      </c>
      <c r="G14" s="18" t="s">
        <v>60</v>
      </c>
      <c r="H14" s="18" t="s">
        <v>60</v>
      </c>
      <c r="I14" s="18" t="s">
        <v>60</v>
      </c>
      <c r="J14" s="18" t="s">
        <v>60</v>
      </c>
      <c r="K14" s="18" t="s">
        <v>60</v>
      </c>
      <c r="L14" s="18" t="s">
        <v>60</v>
      </c>
      <c r="M14" s="18" t="s">
        <v>60</v>
      </c>
      <c r="N14" s="18" t="s">
        <v>60</v>
      </c>
      <c r="O14" s="18"/>
      <c r="P14" s="18"/>
      <c r="Q14" s="18" t="s">
        <v>60</v>
      </c>
      <c r="R14" s="18" t="s">
        <v>60</v>
      </c>
      <c r="S14" s="18" t="s">
        <v>60</v>
      </c>
      <c r="T14" s="18" t="s">
        <v>60</v>
      </c>
      <c r="U14" s="18" t="s">
        <v>60</v>
      </c>
      <c r="V14" s="18" t="s">
        <v>60</v>
      </c>
      <c r="W14" s="18" t="s">
        <v>60</v>
      </c>
      <c r="X14" s="18" t="s">
        <v>60</v>
      </c>
      <c r="Y14" s="18" t="s">
        <v>60</v>
      </c>
      <c r="Z14" s="18" t="s">
        <v>60</v>
      </c>
      <c r="AA14" s="18" t="s">
        <v>60</v>
      </c>
      <c r="AB14" s="18" t="s">
        <v>60</v>
      </c>
      <c r="AC14" s="18" t="s">
        <v>60</v>
      </c>
      <c r="AD14" s="18" t="s">
        <v>60</v>
      </c>
      <c r="AE14" s="19" t="s">
        <v>60</v>
      </c>
      <c r="AF14" s="19" t="s">
        <v>60</v>
      </c>
      <c r="AG14" s="19" t="s">
        <v>60</v>
      </c>
      <c r="AH14" s="19" t="s">
        <v>60</v>
      </c>
      <c r="AI14" s="18">
        <v>0</v>
      </c>
    </row>
    <row r="15" spans="1:35" x14ac:dyDescent="0.25">
      <c r="A15" s="16" t="s">
        <v>61</v>
      </c>
      <c r="B15" s="14">
        <v>104.41981343326678</v>
      </c>
      <c r="C15" s="14">
        <v>104.41981343326678</v>
      </c>
      <c r="D15" s="14">
        <v>95.006884433624862</v>
      </c>
      <c r="E15" s="14">
        <v>90.290977471350757</v>
      </c>
      <c r="F15" s="14">
        <v>93.865890671125698</v>
      </c>
      <c r="G15" s="14">
        <v>92.505662742992413</v>
      </c>
      <c r="H15" s="14">
        <v>92.868478789821921</v>
      </c>
      <c r="I15" s="14">
        <v>92.968819085645265</v>
      </c>
      <c r="J15" s="14">
        <v>90.731213854022954</v>
      </c>
      <c r="K15" s="14">
        <v>77.354766391054426</v>
      </c>
      <c r="L15" s="14">
        <v>116.58380319347422</v>
      </c>
      <c r="M15" s="14">
        <v>80.6921331831591</v>
      </c>
      <c r="N15" s="14">
        <v>149.99336290986861</v>
      </c>
      <c r="O15" s="14"/>
      <c r="P15" s="14"/>
      <c r="Q15" s="14">
        <v>71.49291057215784</v>
      </c>
      <c r="R15" s="14">
        <v>739.0170498579871</v>
      </c>
      <c r="S15" s="14">
        <v>79.659676530152083</v>
      </c>
      <c r="T15" s="14">
        <v>70.931118902667933</v>
      </c>
      <c r="U15" s="14">
        <v>82.412773075771767</v>
      </c>
      <c r="V15" s="14">
        <v>90.621970978401606</v>
      </c>
      <c r="W15" s="14">
        <v>85.075653602420147</v>
      </c>
      <c r="X15" s="14">
        <v>80.458753083977911</v>
      </c>
      <c r="Y15" s="14">
        <v>86.963563417768484</v>
      </c>
      <c r="Z15" s="14">
        <v>79.598568097422799</v>
      </c>
      <c r="AA15" s="14">
        <v>78.056113300144006</v>
      </c>
      <c r="AB15" s="14">
        <v>76.175307746976557</v>
      </c>
      <c r="AC15" s="14">
        <v>71.841777096337978</v>
      </c>
      <c r="AD15" s="14">
        <v>72.653942436471937</v>
      </c>
      <c r="AE15" s="14">
        <v>73.487208668162694</v>
      </c>
      <c r="AF15" s="14">
        <v>78.965391623052696</v>
      </c>
      <c r="AG15" s="14">
        <v>80.406816419453676</v>
      </c>
      <c r="AH15" s="14">
        <v>77.254329031201905</v>
      </c>
      <c r="AI15" s="14">
        <v>-26.015641580729</v>
      </c>
    </row>
    <row r="16" spans="1:35" x14ac:dyDescent="0.25">
      <c r="A16" s="17" t="s">
        <v>62</v>
      </c>
      <c r="B16" s="18">
        <v>55.5565675</v>
      </c>
      <c r="C16" s="18">
        <v>55.5565675</v>
      </c>
      <c r="D16" s="18">
        <v>44.9343875</v>
      </c>
      <c r="E16" s="18">
        <v>40.742197500000003</v>
      </c>
      <c r="F16" s="18">
        <v>37.626564930550003</v>
      </c>
      <c r="G16" s="18">
        <v>35.250374999999998</v>
      </c>
      <c r="H16" s="18">
        <v>33.329819999999998</v>
      </c>
      <c r="I16" s="18">
        <v>31.52149</v>
      </c>
      <c r="J16" s="18">
        <v>30.141457500000001</v>
      </c>
      <c r="K16" s="18">
        <v>28.960415000000001</v>
      </c>
      <c r="L16" s="18">
        <v>27.913372500000001</v>
      </c>
      <c r="M16" s="18">
        <v>27.020765000000001</v>
      </c>
      <c r="N16" s="18">
        <v>26.188122499999999</v>
      </c>
      <c r="O16" s="18"/>
      <c r="P16" s="18"/>
      <c r="Q16" s="18">
        <v>25.424992499999998</v>
      </c>
      <c r="R16" s="18">
        <v>24.746784999999999</v>
      </c>
      <c r="S16" s="18">
        <v>24.148977500000001</v>
      </c>
      <c r="T16" s="18">
        <v>23.546647499999999</v>
      </c>
      <c r="U16" s="18">
        <v>23.0451525</v>
      </c>
      <c r="V16" s="18">
        <v>22.527744999999999</v>
      </c>
      <c r="W16" s="18">
        <v>22.07985</v>
      </c>
      <c r="X16" s="18">
        <v>21.658754999999999</v>
      </c>
      <c r="Y16" s="18">
        <v>21.233137500000002</v>
      </c>
      <c r="Z16" s="18">
        <v>20.8656425</v>
      </c>
      <c r="AA16" s="18">
        <v>20.498147500000002</v>
      </c>
      <c r="AB16" s="18">
        <v>20.146564999999999</v>
      </c>
      <c r="AC16" s="18">
        <v>19.8371925</v>
      </c>
      <c r="AD16" s="18">
        <v>19.539210000000001</v>
      </c>
      <c r="AE16" s="19">
        <v>19.241227500000001</v>
      </c>
      <c r="AF16" s="19">
        <v>18.943245000000001</v>
      </c>
      <c r="AG16" s="19">
        <v>18.645262500000001</v>
      </c>
      <c r="AH16" s="19">
        <v>18.347280000000001</v>
      </c>
      <c r="AI16" s="18">
        <v>-66.975497541311995</v>
      </c>
    </row>
    <row r="17" spans="1:38" x14ac:dyDescent="0.25">
      <c r="A17" s="17" t="s">
        <v>63</v>
      </c>
      <c r="B17" s="18">
        <v>48.863245933266782</v>
      </c>
      <c r="C17" s="18">
        <v>48.863245933266782</v>
      </c>
      <c r="D17" s="18">
        <v>50.072496933624862</v>
      </c>
      <c r="E17" s="18">
        <v>49.548779971350761</v>
      </c>
      <c r="F17" s="18">
        <v>56.239325740575701</v>
      </c>
      <c r="G17" s="18">
        <v>57.255287742992422</v>
      </c>
      <c r="H17" s="18">
        <v>59.538658789821923</v>
      </c>
      <c r="I17" s="18">
        <v>61.447329085645272</v>
      </c>
      <c r="J17" s="18">
        <v>60.589756354022953</v>
      </c>
      <c r="K17" s="18">
        <v>48.394351391054428</v>
      </c>
      <c r="L17" s="18">
        <v>88.670430693474231</v>
      </c>
      <c r="M17" s="18">
        <v>53.671368183159103</v>
      </c>
      <c r="N17" s="18">
        <v>123.80524040986862</v>
      </c>
      <c r="O17" s="18"/>
      <c r="P17" s="18"/>
      <c r="Q17" s="18">
        <v>46.067918072157838</v>
      </c>
      <c r="R17" s="18">
        <v>714.27026485798706</v>
      </c>
      <c r="S17" s="18">
        <v>55.510699030152082</v>
      </c>
      <c r="T17" s="18">
        <v>47.384471402667927</v>
      </c>
      <c r="U17" s="18">
        <v>59.367620575771767</v>
      </c>
      <c r="V17" s="18">
        <v>68.09422597840161</v>
      </c>
      <c r="W17" s="18">
        <v>62.995803602420153</v>
      </c>
      <c r="X17" s="18">
        <v>58.799998083977911</v>
      </c>
      <c r="Y17" s="18">
        <v>65.730425917768486</v>
      </c>
      <c r="Z17" s="18">
        <v>58.732925597422799</v>
      </c>
      <c r="AA17" s="18">
        <v>57.557965800143997</v>
      </c>
      <c r="AB17" s="18">
        <v>56.028742746976562</v>
      </c>
      <c r="AC17" s="18">
        <v>52.004584596337978</v>
      </c>
      <c r="AD17" s="18">
        <v>53.114732436471932</v>
      </c>
      <c r="AE17" s="19">
        <v>54.245981168162693</v>
      </c>
      <c r="AF17" s="19">
        <v>60.022146623052699</v>
      </c>
      <c r="AG17" s="19">
        <v>61.761553919453682</v>
      </c>
      <c r="AH17" s="19">
        <v>58.907049031201907</v>
      </c>
      <c r="AI17" s="18">
        <v>20.554924066346</v>
      </c>
    </row>
    <row r="18" spans="1:38" ht="13.5" x14ac:dyDescent="0.25">
      <c r="A18" s="20" t="s">
        <v>64</v>
      </c>
      <c r="B18" s="18" t="s">
        <v>65</v>
      </c>
      <c r="C18" s="18" t="s">
        <v>65</v>
      </c>
      <c r="D18" s="18" t="s">
        <v>65</v>
      </c>
      <c r="E18" s="18" t="s">
        <v>65</v>
      </c>
      <c r="F18" s="18" t="s">
        <v>65</v>
      </c>
      <c r="G18" s="18" t="s">
        <v>65</v>
      </c>
      <c r="H18" s="18" t="s">
        <v>65</v>
      </c>
      <c r="I18" s="18" t="s">
        <v>65</v>
      </c>
      <c r="J18" s="18" t="s">
        <v>65</v>
      </c>
      <c r="K18" s="18" t="s">
        <v>65</v>
      </c>
      <c r="L18" s="18" t="s">
        <v>65</v>
      </c>
      <c r="M18" s="18" t="s">
        <v>65</v>
      </c>
      <c r="N18" s="18" t="s">
        <v>65</v>
      </c>
      <c r="O18" s="18"/>
      <c r="P18" s="18"/>
      <c r="Q18" s="18" t="s">
        <v>65</v>
      </c>
      <c r="R18" s="18" t="s">
        <v>65</v>
      </c>
      <c r="S18" s="18" t="s">
        <v>65</v>
      </c>
      <c r="T18" s="18" t="s">
        <v>65</v>
      </c>
      <c r="U18" s="18" t="s">
        <v>65</v>
      </c>
      <c r="V18" s="18" t="s">
        <v>65</v>
      </c>
      <c r="W18" s="18" t="s">
        <v>65</v>
      </c>
      <c r="X18" s="18" t="s">
        <v>65</v>
      </c>
      <c r="Y18" s="18" t="s">
        <v>65</v>
      </c>
      <c r="Z18" s="18" t="s">
        <v>65</v>
      </c>
      <c r="AA18" s="18" t="s">
        <v>65</v>
      </c>
      <c r="AB18" s="18" t="s">
        <v>65</v>
      </c>
      <c r="AC18" s="18" t="s">
        <v>65</v>
      </c>
      <c r="AD18" s="18" t="s">
        <v>65</v>
      </c>
      <c r="AE18" s="19" t="s">
        <v>65</v>
      </c>
      <c r="AF18" s="19" t="s">
        <v>65</v>
      </c>
      <c r="AG18" s="19" t="s">
        <v>65</v>
      </c>
      <c r="AH18" s="19" t="s">
        <v>65</v>
      </c>
      <c r="AI18" s="18">
        <v>0</v>
      </c>
    </row>
    <row r="19" spans="1:38" x14ac:dyDescent="0.25">
      <c r="A19" s="15" t="s">
        <v>66</v>
      </c>
      <c r="B19" s="14">
        <v>3309.1613021160401</v>
      </c>
      <c r="C19" s="14">
        <v>3309.1613021160401</v>
      </c>
      <c r="D19" s="14">
        <v>3011.4141608237082</v>
      </c>
      <c r="E19" s="14">
        <v>2937.9437558339682</v>
      </c>
      <c r="F19" s="14">
        <v>2945.2812713889025</v>
      </c>
      <c r="G19" s="14">
        <v>3226.8608233570908</v>
      </c>
      <c r="H19" s="14">
        <v>3217.4130741955928</v>
      </c>
      <c r="I19" s="14">
        <v>3399.4497308266123</v>
      </c>
      <c r="J19" s="14">
        <v>3862.3945361455017</v>
      </c>
      <c r="K19" s="14">
        <v>3666.0559178852463</v>
      </c>
      <c r="L19" s="14">
        <v>3774.3860962620843</v>
      </c>
      <c r="M19" s="14">
        <v>4558.3066011244118</v>
      </c>
      <c r="N19" s="14">
        <v>4602.5019195424802</v>
      </c>
      <c r="O19" s="14"/>
      <c r="P19" s="14"/>
      <c r="Q19" s="14">
        <v>4074.8897194191049</v>
      </c>
      <c r="R19" s="14">
        <v>3481.9573095426649</v>
      </c>
      <c r="S19" s="14">
        <v>3667.0105212162121</v>
      </c>
      <c r="T19" s="14">
        <v>3962.6157742008095</v>
      </c>
      <c r="U19" s="14">
        <v>3891.1235168524331</v>
      </c>
      <c r="V19" s="14">
        <v>3943.4809048872071</v>
      </c>
      <c r="W19" s="14">
        <v>3661.5022762053877</v>
      </c>
      <c r="X19" s="14">
        <v>2811.2797213952845</v>
      </c>
      <c r="Y19" s="14">
        <v>2594.6977801120875</v>
      </c>
      <c r="Z19" s="14">
        <v>2482.6334758737225</v>
      </c>
      <c r="AA19" s="14">
        <v>2686.8256757226</v>
      </c>
      <c r="AB19" s="14">
        <v>2639.9317939511743</v>
      </c>
      <c r="AC19" s="14">
        <v>3057.7858937984006</v>
      </c>
      <c r="AD19" s="14">
        <v>3246.3449957145399</v>
      </c>
      <c r="AE19" s="14">
        <v>3474.6810172584751</v>
      </c>
      <c r="AF19" s="14">
        <v>3488.3476383454426</v>
      </c>
      <c r="AG19" s="14">
        <v>3235.9810138061553</v>
      </c>
      <c r="AH19" s="14">
        <v>3184.0305984553916</v>
      </c>
      <c r="AI19" s="14">
        <v>-3.781341924331</v>
      </c>
    </row>
    <row r="20" spans="1:38" x14ac:dyDescent="0.25">
      <c r="A20" s="20" t="s">
        <v>67</v>
      </c>
      <c r="B20" s="18">
        <v>1116.7254085014333</v>
      </c>
      <c r="C20" s="18">
        <v>1116.7254085014333</v>
      </c>
      <c r="D20" s="18">
        <v>992.38939661731524</v>
      </c>
      <c r="E20" s="18">
        <v>932.96808506651939</v>
      </c>
      <c r="F20" s="18">
        <v>951.12593750870883</v>
      </c>
      <c r="G20" s="18">
        <v>1081.7022655246876</v>
      </c>
      <c r="H20" s="18">
        <v>1084.1810327260132</v>
      </c>
      <c r="I20" s="18">
        <v>1198.387083175485</v>
      </c>
      <c r="J20" s="18">
        <v>1384.9248481927566</v>
      </c>
      <c r="K20" s="18">
        <v>1288.1260716317765</v>
      </c>
      <c r="L20" s="18">
        <v>1353.709634567598</v>
      </c>
      <c r="M20" s="18">
        <v>1908.7841314126661</v>
      </c>
      <c r="N20" s="18">
        <v>2061.4371933464076</v>
      </c>
      <c r="O20" s="18"/>
      <c r="P20" s="18"/>
      <c r="Q20" s="18">
        <v>2063.3791229426015</v>
      </c>
      <c r="R20" s="18">
        <v>2342.3181160836975</v>
      </c>
      <c r="S20" s="18">
        <v>2507.0626593013171</v>
      </c>
      <c r="T20" s="18">
        <v>2552.7953464691873</v>
      </c>
      <c r="U20" s="18">
        <v>2538.7434105910074</v>
      </c>
      <c r="V20" s="18">
        <v>2580.4341213620519</v>
      </c>
      <c r="W20" s="18">
        <v>2301.5837453875524</v>
      </c>
      <c r="X20" s="18">
        <v>1485.322669481403</v>
      </c>
      <c r="Y20" s="18">
        <v>1299.0484147465629</v>
      </c>
      <c r="Z20" s="18">
        <v>1167.2705389694756</v>
      </c>
      <c r="AA20" s="18">
        <v>1391.9677990924163</v>
      </c>
      <c r="AB20" s="18">
        <v>1301.6950015306572</v>
      </c>
      <c r="AC20" s="18">
        <v>1650.4531530457712</v>
      </c>
      <c r="AD20" s="18">
        <v>1830.3635214124336</v>
      </c>
      <c r="AE20" s="19">
        <v>1968.4013520332232</v>
      </c>
      <c r="AF20" s="19">
        <v>2039.8562560230894</v>
      </c>
      <c r="AG20" s="19">
        <v>2094.5489797619252</v>
      </c>
      <c r="AH20" s="19">
        <v>2057.6690466445225</v>
      </c>
      <c r="AI20" s="18">
        <v>84.259176963276005</v>
      </c>
    </row>
    <row r="21" spans="1:38" x14ac:dyDescent="0.25">
      <c r="A21" s="20" t="s">
        <v>68</v>
      </c>
      <c r="B21" s="18">
        <v>1985.553497839195</v>
      </c>
      <c r="C21" s="18">
        <v>1985.553497839195</v>
      </c>
      <c r="D21" s="18">
        <v>1811.31490092895</v>
      </c>
      <c r="E21" s="18">
        <v>1784.5598679642201</v>
      </c>
      <c r="F21" s="18">
        <v>1727.1851861620689</v>
      </c>
      <c r="G21" s="18">
        <v>1837.6240166776099</v>
      </c>
      <c r="H21" s="18">
        <v>1754.435682700223</v>
      </c>
      <c r="I21" s="18">
        <v>1703.84885185394</v>
      </c>
      <c r="J21" s="18">
        <v>1854.12295367253</v>
      </c>
      <c r="K21" s="18">
        <v>1839.8040564006599</v>
      </c>
      <c r="L21" s="18">
        <v>1723.8160338628061</v>
      </c>
      <c r="M21" s="18">
        <v>1663.2983634614229</v>
      </c>
      <c r="N21" s="18">
        <v>1602.9141868890499</v>
      </c>
      <c r="O21" s="18"/>
      <c r="P21" s="18"/>
      <c r="Q21" s="18">
        <v>1091.7655638550139</v>
      </c>
      <c r="R21" s="18">
        <v>0.29746752765364998</v>
      </c>
      <c r="S21" s="18" t="s">
        <v>65</v>
      </c>
      <c r="T21" s="18" t="s">
        <v>65</v>
      </c>
      <c r="U21" s="18" t="s">
        <v>65</v>
      </c>
      <c r="V21" s="18" t="s">
        <v>65</v>
      </c>
      <c r="W21" s="18" t="s">
        <v>65</v>
      </c>
      <c r="X21" s="18" t="s">
        <v>65</v>
      </c>
      <c r="Y21" s="18" t="s">
        <v>65</v>
      </c>
      <c r="Z21" s="18" t="s">
        <v>65</v>
      </c>
      <c r="AA21" s="18" t="s">
        <v>65</v>
      </c>
      <c r="AB21" s="18" t="s">
        <v>65</v>
      </c>
      <c r="AC21" s="18" t="s">
        <v>65</v>
      </c>
      <c r="AD21" s="18" t="s">
        <v>65</v>
      </c>
      <c r="AE21" s="19" t="s">
        <v>65</v>
      </c>
      <c r="AF21" s="19" t="s">
        <v>65</v>
      </c>
      <c r="AG21" s="19" t="s">
        <v>65</v>
      </c>
      <c r="AH21" s="19" t="s">
        <v>65</v>
      </c>
      <c r="AI21" s="18" t="s">
        <v>69</v>
      </c>
    </row>
    <row r="22" spans="1:38" x14ac:dyDescent="0.25">
      <c r="A22" s="20" t="s">
        <v>70</v>
      </c>
      <c r="B22" s="18">
        <v>26.08</v>
      </c>
      <c r="C22" s="18">
        <v>26.08</v>
      </c>
      <c r="D22" s="18">
        <v>23.44</v>
      </c>
      <c r="E22" s="18">
        <v>20.56</v>
      </c>
      <c r="F22" s="18">
        <v>26.08</v>
      </c>
      <c r="G22" s="18">
        <v>21.28</v>
      </c>
      <c r="H22" s="18">
        <v>24.8</v>
      </c>
      <c r="I22" s="18">
        <v>27.28</v>
      </c>
      <c r="J22" s="18">
        <v>26.96</v>
      </c>
      <c r="K22" s="18">
        <v>28.64</v>
      </c>
      <c r="L22" s="18">
        <v>26.8</v>
      </c>
      <c r="M22" s="18">
        <v>28.8</v>
      </c>
      <c r="N22" s="18">
        <v>12</v>
      </c>
      <c r="O22" s="18"/>
      <c r="P22" s="18"/>
      <c r="Q22" s="18" t="s">
        <v>65</v>
      </c>
      <c r="R22" s="18" t="s">
        <v>65</v>
      </c>
      <c r="S22" s="18" t="s">
        <v>65</v>
      </c>
      <c r="T22" s="18" t="s">
        <v>65</v>
      </c>
      <c r="U22" s="18" t="s">
        <v>65</v>
      </c>
      <c r="V22" s="18" t="s">
        <v>65</v>
      </c>
      <c r="W22" s="18" t="s">
        <v>65</v>
      </c>
      <c r="X22" s="18" t="s">
        <v>65</v>
      </c>
      <c r="Y22" s="18" t="s">
        <v>65</v>
      </c>
      <c r="Z22" s="18" t="s">
        <v>65</v>
      </c>
      <c r="AA22" s="18" t="s">
        <v>65</v>
      </c>
      <c r="AB22" s="18" t="s">
        <v>65</v>
      </c>
      <c r="AC22" s="18" t="s">
        <v>65</v>
      </c>
      <c r="AD22" s="18" t="s">
        <v>65</v>
      </c>
      <c r="AE22" s="19" t="s">
        <v>65</v>
      </c>
      <c r="AF22" s="19" t="s">
        <v>65</v>
      </c>
      <c r="AG22" s="19" t="s">
        <v>65</v>
      </c>
      <c r="AH22" s="19" t="s">
        <v>65</v>
      </c>
      <c r="AI22" s="18" t="s">
        <v>69</v>
      </c>
    </row>
    <row r="23" spans="1:38" x14ac:dyDescent="0.25">
      <c r="A23" s="21" t="s">
        <v>71</v>
      </c>
      <c r="B23" s="18">
        <v>93.63703811807045</v>
      </c>
      <c r="C23" s="18">
        <v>93.63703811807045</v>
      </c>
      <c r="D23" s="18">
        <v>81.693081629800545</v>
      </c>
      <c r="E23" s="18">
        <v>81.797005387101976</v>
      </c>
      <c r="F23" s="18">
        <v>80.348882995154867</v>
      </c>
      <c r="G23" s="18">
        <v>82.172906197423629</v>
      </c>
      <c r="H23" s="18">
        <v>72.767086506408646</v>
      </c>
      <c r="I23" s="18">
        <v>89.342467188350227</v>
      </c>
      <c r="J23" s="18">
        <v>83.168646341995796</v>
      </c>
      <c r="K23" s="18">
        <v>80.443255226496746</v>
      </c>
      <c r="L23" s="18">
        <v>80.973144163034192</v>
      </c>
      <c r="M23" s="18">
        <v>133.35042157441205</v>
      </c>
      <c r="N23" s="18">
        <v>90.223425108969224</v>
      </c>
      <c r="O23" s="18"/>
      <c r="P23" s="18"/>
      <c r="Q23" s="18">
        <v>85.649031704223404</v>
      </c>
      <c r="R23" s="18">
        <v>86.176084151522915</v>
      </c>
      <c r="S23" s="18">
        <v>94.578795657509374</v>
      </c>
      <c r="T23" s="18">
        <v>145.62639489319477</v>
      </c>
      <c r="U23" s="18">
        <v>105.21972960896865</v>
      </c>
      <c r="V23" s="18">
        <v>119.10723141401598</v>
      </c>
      <c r="W23" s="18">
        <v>101.04480728563857</v>
      </c>
      <c r="X23" s="18">
        <v>99.680549915014041</v>
      </c>
      <c r="Y23" s="18">
        <v>87.025094774096374</v>
      </c>
      <c r="Z23" s="18">
        <v>88.562295710552206</v>
      </c>
      <c r="AA23" s="18">
        <v>85.377362253749126</v>
      </c>
      <c r="AB23" s="18">
        <v>88.625438410650261</v>
      </c>
      <c r="AC23" s="18">
        <v>92.056095552456128</v>
      </c>
      <c r="AD23" s="18">
        <v>94.304194563161445</v>
      </c>
      <c r="AE23" s="19">
        <v>95.8028252116397</v>
      </c>
      <c r="AF23" s="19">
        <v>100.30906456818593</v>
      </c>
      <c r="AG23" s="19">
        <v>101.38417644384474</v>
      </c>
      <c r="AH23" s="19">
        <v>101.46339986742251</v>
      </c>
      <c r="AI23" s="18">
        <v>8.3581902061910007</v>
      </c>
    </row>
    <row r="24" spans="1:38" x14ac:dyDescent="0.25">
      <c r="A24" s="20" t="s">
        <v>72</v>
      </c>
      <c r="B24" s="18">
        <v>1.16777</v>
      </c>
      <c r="C24" s="18">
        <v>1.16777</v>
      </c>
      <c r="D24" s="18">
        <v>15.146597</v>
      </c>
      <c r="E24" s="18">
        <v>29.125423999999999</v>
      </c>
      <c r="F24" s="18">
        <v>57.083078</v>
      </c>
      <c r="G24" s="18">
        <v>85.040732000000006</v>
      </c>
      <c r="H24" s="18">
        <v>145.3303733333334</v>
      </c>
      <c r="I24" s="18">
        <v>201.00266000000002</v>
      </c>
      <c r="J24" s="18">
        <v>258.20570666666669</v>
      </c>
      <c r="K24" s="18">
        <v>138.04508899999993</v>
      </c>
      <c r="L24" s="18">
        <v>286.00757666666658</v>
      </c>
      <c r="M24" s="18">
        <v>491.70421900000002</v>
      </c>
      <c r="N24" s="18">
        <v>424.70519000000002</v>
      </c>
      <c r="O24" s="18"/>
      <c r="P24" s="18"/>
      <c r="Q24" s="18">
        <v>344.12409000000002</v>
      </c>
      <c r="R24" s="18">
        <v>393.08417279999998</v>
      </c>
      <c r="S24" s="18">
        <v>285.75225999999998</v>
      </c>
      <c r="T24" s="18">
        <v>310.1170459999999</v>
      </c>
      <c r="U24" s="18">
        <v>249.4101845714286</v>
      </c>
      <c r="V24" s="18">
        <v>238.86941142857131</v>
      </c>
      <c r="W24" s="18">
        <v>179.8614371428572</v>
      </c>
      <c r="X24" s="18">
        <v>107.3003385714286</v>
      </c>
      <c r="Y24" s="18">
        <v>68.18728285714279</v>
      </c>
      <c r="Z24" s="18">
        <v>41.132805714285738</v>
      </c>
      <c r="AA24" s="18">
        <v>31.546020317460268</v>
      </c>
      <c r="AB24" s="18">
        <v>34.62541079365085</v>
      </c>
      <c r="AC24" s="18">
        <v>20.26955740259751</v>
      </c>
      <c r="AD24" s="18">
        <v>46.844311948052102</v>
      </c>
      <c r="AE24" s="19">
        <v>57.042272756132881</v>
      </c>
      <c r="AF24" s="19">
        <v>67.077574487734395</v>
      </c>
      <c r="AG24" s="19">
        <v>77.72192898989897</v>
      </c>
      <c r="AH24" s="19">
        <v>92.849564170274135</v>
      </c>
      <c r="AI24" s="18">
        <v>7851.0146835656114</v>
      </c>
    </row>
    <row r="25" spans="1:38" x14ac:dyDescent="0.25">
      <c r="A25" s="21" t="s">
        <v>73</v>
      </c>
      <c r="B25" s="18" t="s">
        <v>65</v>
      </c>
      <c r="C25" s="18" t="s">
        <v>65</v>
      </c>
      <c r="D25" s="18" t="s">
        <v>65</v>
      </c>
      <c r="E25" s="18" t="s">
        <v>65</v>
      </c>
      <c r="F25" s="18">
        <v>13.12763646839789</v>
      </c>
      <c r="G25" s="18">
        <v>27.36594756059629</v>
      </c>
      <c r="H25" s="18">
        <v>42.921022125879468</v>
      </c>
      <c r="I25" s="18">
        <v>87.008595252078166</v>
      </c>
      <c r="J25" s="18">
        <v>152.9124056645816</v>
      </c>
      <c r="K25" s="18">
        <v>196.67620964603097</v>
      </c>
      <c r="L25" s="18">
        <v>197.83292137976119</v>
      </c>
      <c r="M25" s="18">
        <v>254.83700873994974</v>
      </c>
      <c r="N25" s="18">
        <v>310.75996006410799</v>
      </c>
      <c r="O25" s="18"/>
      <c r="P25" s="18"/>
      <c r="Q25" s="18">
        <v>389.78351115558388</v>
      </c>
      <c r="R25" s="18">
        <v>539.21943905229523</v>
      </c>
      <c r="S25" s="18">
        <v>678.64822206251984</v>
      </c>
      <c r="T25" s="18">
        <v>852.7248597335871</v>
      </c>
      <c r="U25" s="18">
        <v>895.81779412664832</v>
      </c>
      <c r="V25" s="18">
        <v>901.96414887643277</v>
      </c>
      <c r="W25" s="18">
        <v>991.79209520131326</v>
      </c>
      <c r="X25" s="18">
        <v>1024.7593140075346</v>
      </c>
      <c r="Y25" s="18">
        <v>1043.9465150205426</v>
      </c>
      <c r="Z25" s="18">
        <v>1081.1611485328224</v>
      </c>
      <c r="AA25" s="18">
        <v>1072.1537496781507</v>
      </c>
      <c r="AB25" s="18">
        <v>1102.9341580102005</v>
      </c>
      <c r="AC25" s="18">
        <v>1189.4256780797675</v>
      </c>
      <c r="AD25" s="18">
        <v>1165.6614313227467</v>
      </c>
      <c r="AE25" s="19">
        <v>1241.1951714545532</v>
      </c>
      <c r="AF25" s="19">
        <v>1156.1352845643883</v>
      </c>
      <c r="AG25" s="19">
        <v>840.52323705764422</v>
      </c>
      <c r="AH25" s="19">
        <v>813.15559371244274</v>
      </c>
      <c r="AI25" s="18">
        <v>100</v>
      </c>
    </row>
    <row r="26" spans="1:38" x14ac:dyDescent="0.25">
      <c r="A26" s="21" t="s">
        <v>74</v>
      </c>
      <c r="B26" s="18">
        <v>64.839722865824797</v>
      </c>
      <c r="C26" s="18">
        <v>64.839722865824797</v>
      </c>
      <c r="D26" s="18">
        <v>65.9540316013004</v>
      </c>
      <c r="E26" s="18">
        <v>67.138128795841993</v>
      </c>
      <c r="F26" s="18">
        <v>68.240380328281205</v>
      </c>
      <c r="G26" s="18">
        <v>69.278422113333207</v>
      </c>
      <c r="H26" s="18">
        <v>70.350951105670802</v>
      </c>
      <c r="I26" s="18">
        <v>70.678307079996003</v>
      </c>
      <c r="J26" s="18">
        <v>81.435828470333604</v>
      </c>
      <c r="K26" s="18">
        <v>71.762812246051595</v>
      </c>
      <c r="L26" s="18">
        <v>81.763920169605996</v>
      </c>
      <c r="M26" s="18">
        <v>56.081267334302403</v>
      </c>
      <c r="N26" s="18">
        <v>79.611512450472802</v>
      </c>
      <c r="O26" s="18"/>
      <c r="P26" s="18"/>
      <c r="Q26" s="18">
        <v>72.318846300660795</v>
      </c>
      <c r="R26" s="18">
        <v>88.448089324159596</v>
      </c>
      <c r="S26" s="18">
        <v>70.414973569279596</v>
      </c>
      <c r="T26" s="18">
        <v>71.243641324449598</v>
      </c>
      <c r="U26" s="18">
        <v>71.853127567036793</v>
      </c>
      <c r="V26" s="18">
        <v>73.303573921722403</v>
      </c>
      <c r="W26" s="18">
        <v>55.696093195208398</v>
      </c>
      <c r="X26" s="18">
        <v>59.79622833067728</v>
      </c>
      <c r="Y26" s="18">
        <v>56.454104521150803</v>
      </c>
      <c r="Z26" s="18">
        <v>64.288134521497199</v>
      </c>
      <c r="AA26" s="18">
        <v>60.046803563879919</v>
      </c>
      <c r="AB26" s="18">
        <v>62.645815392622879</v>
      </c>
      <c r="AC26" s="18">
        <v>63.488056627831682</v>
      </c>
      <c r="AD26" s="18">
        <v>64.419499175872474</v>
      </c>
      <c r="AE26" s="19">
        <v>64.9096280454104</v>
      </c>
      <c r="AF26" s="19">
        <v>65.930092187294079</v>
      </c>
      <c r="AG26" s="19">
        <v>62.365802599216643</v>
      </c>
      <c r="AH26" s="19">
        <v>54.50086350123</v>
      </c>
      <c r="AI26" s="18">
        <v>-15.945255327492999</v>
      </c>
    </row>
    <row r="27" spans="1:38" x14ac:dyDescent="0.25">
      <c r="A27" s="20" t="s">
        <v>75</v>
      </c>
      <c r="B27" s="18">
        <v>21.15786479151668</v>
      </c>
      <c r="C27" s="18">
        <v>21.15786479151668</v>
      </c>
      <c r="D27" s="18">
        <v>21.47615304634186</v>
      </c>
      <c r="E27" s="18">
        <v>21.79524462028472</v>
      </c>
      <c r="F27" s="18">
        <v>22.090169926290539</v>
      </c>
      <c r="G27" s="18">
        <v>22.39653328343989</v>
      </c>
      <c r="H27" s="18">
        <v>22.626925698001759</v>
      </c>
      <c r="I27" s="18">
        <v>21.901766276698929</v>
      </c>
      <c r="J27" s="18">
        <v>20.664147136632121</v>
      </c>
      <c r="K27" s="18">
        <v>22.558423734190711</v>
      </c>
      <c r="L27" s="18">
        <v>23.48286545269098</v>
      </c>
      <c r="M27" s="18">
        <v>21.451189601658179</v>
      </c>
      <c r="N27" s="18">
        <v>20.850451683472421</v>
      </c>
      <c r="O27" s="18"/>
      <c r="P27" s="18"/>
      <c r="Q27" s="18">
        <v>27.86955346102155</v>
      </c>
      <c r="R27" s="18">
        <v>32.413940603335782</v>
      </c>
      <c r="S27" s="18">
        <v>30.553610625585989</v>
      </c>
      <c r="T27" s="18">
        <v>30.10848578046669</v>
      </c>
      <c r="U27" s="18">
        <v>30.079270387375821</v>
      </c>
      <c r="V27" s="18">
        <v>29.802417884455888</v>
      </c>
      <c r="W27" s="18">
        <v>31.524097992883259</v>
      </c>
      <c r="X27" s="18">
        <v>34.420621089259669</v>
      </c>
      <c r="Y27" s="18">
        <v>40.036368192526737</v>
      </c>
      <c r="Z27" s="18">
        <v>40.218552425035121</v>
      </c>
      <c r="AA27" s="18">
        <v>45.733940816878153</v>
      </c>
      <c r="AB27" s="18">
        <v>49.405969813419993</v>
      </c>
      <c r="AC27" s="18">
        <v>42.093353089919987</v>
      </c>
      <c r="AD27" s="18">
        <v>44.752037292217182</v>
      </c>
      <c r="AE27" s="19">
        <v>47.329767757459059</v>
      </c>
      <c r="AF27" s="19">
        <v>59.039366514862067</v>
      </c>
      <c r="AG27" s="19">
        <v>59.436888953600842</v>
      </c>
      <c r="AH27" s="19">
        <v>64.392130559347422</v>
      </c>
      <c r="AI27" s="18">
        <v>204.34134632132501</v>
      </c>
    </row>
    <row r="28" spans="1:38" x14ac:dyDescent="0.25">
      <c r="A28" s="22" t="s">
        <v>76</v>
      </c>
      <c r="B28" s="14">
        <v>18515.410940973499</v>
      </c>
      <c r="C28" s="14">
        <v>18515.410940973499</v>
      </c>
      <c r="D28" s="14">
        <v>18689.852697233491</v>
      </c>
      <c r="E28" s="14">
        <v>18793.993351738231</v>
      </c>
      <c r="F28" s="14">
        <v>19101.570806568365</v>
      </c>
      <c r="G28" s="14">
        <v>19281.828603306556</v>
      </c>
      <c r="H28" s="14">
        <v>19869.198251088437</v>
      </c>
      <c r="I28" s="14">
        <v>20355.395512254006</v>
      </c>
      <c r="J28" s="14">
        <v>20515.263091493751</v>
      </c>
      <c r="K28" s="14">
        <v>21031.91199670656</v>
      </c>
      <c r="L28" s="14">
        <v>20766.359176809339</v>
      </c>
      <c r="M28" s="14">
        <v>19915.894114444767</v>
      </c>
      <c r="N28" s="14">
        <v>19679.748819762339</v>
      </c>
      <c r="O28" s="14"/>
      <c r="P28" s="14"/>
      <c r="Q28" s="14">
        <v>19458.881270769794</v>
      </c>
      <c r="R28" s="14">
        <v>19771.420720568676</v>
      </c>
      <c r="S28" s="14">
        <v>19420.287568253494</v>
      </c>
      <c r="T28" s="14">
        <v>19292.835852066299</v>
      </c>
      <c r="U28" s="14">
        <v>19169.535837853869</v>
      </c>
      <c r="V28" s="14">
        <v>18634.584188705296</v>
      </c>
      <c r="W28" s="14">
        <v>18503.624984901784</v>
      </c>
      <c r="X28" s="14">
        <v>18224.164235678505</v>
      </c>
      <c r="Y28" s="14">
        <v>18349.927516176205</v>
      </c>
      <c r="Z28" s="14">
        <v>17718.487330676628</v>
      </c>
      <c r="AA28" s="14">
        <v>18527.156202435657</v>
      </c>
      <c r="AB28" s="14">
        <v>19356.014150292558</v>
      </c>
      <c r="AC28" s="14">
        <v>18876.041004266328</v>
      </c>
      <c r="AD28" s="14">
        <v>19410.889622774797</v>
      </c>
      <c r="AE28" s="14">
        <v>19899.815916982494</v>
      </c>
      <c r="AF28" s="14">
        <v>20567.79804551477</v>
      </c>
      <c r="AG28" s="14">
        <v>21351.150252449035</v>
      </c>
      <c r="AH28" s="14">
        <v>20479.695597940183</v>
      </c>
      <c r="AI28" s="14">
        <v>10.608917421432</v>
      </c>
      <c r="AK28" s="7">
        <v>16000</v>
      </c>
      <c r="AL28" s="57">
        <f>AK28-AG28</f>
        <v>-5351.1502524490352</v>
      </c>
    </row>
    <row r="29" spans="1:38" x14ac:dyDescent="0.25">
      <c r="A29" s="16" t="s">
        <v>77</v>
      </c>
      <c r="B29" s="18">
        <v>10466.066693626077</v>
      </c>
      <c r="C29" s="18">
        <v>10466.066693626077</v>
      </c>
      <c r="D29" s="18">
        <v>10660.54767851249</v>
      </c>
      <c r="E29" s="18">
        <v>10852.00217283778</v>
      </c>
      <c r="F29" s="18">
        <v>10942.326463158119</v>
      </c>
      <c r="G29" s="18">
        <v>10976.466639185968</v>
      </c>
      <c r="H29" s="18">
        <v>11085.93373541304</v>
      </c>
      <c r="I29" s="18">
        <v>11470.212074696636</v>
      </c>
      <c r="J29" s="18">
        <v>11811.870224809058</v>
      </c>
      <c r="K29" s="18">
        <v>12040.368820094742</v>
      </c>
      <c r="L29" s="18">
        <v>11742.651515125886</v>
      </c>
      <c r="M29" s="18">
        <v>11295.770135360592</v>
      </c>
      <c r="N29" s="18">
        <v>11308.710130901733</v>
      </c>
      <c r="O29" s="18"/>
      <c r="P29" s="18"/>
      <c r="Q29" s="18">
        <v>11264.603627702762</v>
      </c>
      <c r="R29" s="18">
        <v>11302.743895659585</v>
      </c>
      <c r="S29" s="18">
        <v>11241.255673611191</v>
      </c>
      <c r="T29" s="18">
        <v>11217.330901472806</v>
      </c>
      <c r="U29" s="18">
        <v>11304.710444586908</v>
      </c>
      <c r="V29" s="18">
        <v>10951.34641536729</v>
      </c>
      <c r="W29" s="18">
        <v>10964.90014598888</v>
      </c>
      <c r="X29" s="18">
        <v>10789.133150387201</v>
      </c>
      <c r="Y29" s="18">
        <v>10554.669290296861</v>
      </c>
      <c r="Z29" s="18">
        <v>10419.329881054278</v>
      </c>
      <c r="AA29" s="18">
        <v>11043.027430425514</v>
      </c>
      <c r="AB29" s="18">
        <v>11144.523065171637</v>
      </c>
      <c r="AC29" s="18">
        <v>11063.691314453079</v>
      </c>
      <c r="AD29" s="18">
        <v>11463.65668811105</v>
      </c>
      <c r="AE29" s="19">
        <v>11789.939081336175</v>
      </c>
      <c r="AF29" s="19">
        <v>12182.619630922909</v>
      </c>
      <c r="AG29" s="19">
        <v>12464.637749988135</v>
      </c>
      <c r="AH29" s="19">
        <v>12151.210713769944</v>
      </c>
      <c r="AI29" s="18">
        <v>16.10102505051</v>
      </c>
      <c r="AL29" s="7">
        <f>AL28/AG28</f>
        <v>-0.2506258533699019</v>
      </c>
    </row>
    <row r="30" spans="1:38" x14ac:dyDescent="0.25">
      <c r="A30" s="16" t="s">
        <v>78</v>
      </c>
      <c r="B30" s="18">
        <v>1777.1308627024177</v>
      </c>
      <c r="C30" s="18">
        <v>1777.1308627024177</v>
      </c>
      <c r="D30" s="18">
        <v>1821.4541830278322</v>
      </c>
      <c r="E30" s="18">
        <v>1860.5360266098769</v>
      </c>
      <c r="F30" s="18">
        <v>1882.4311340193901</v>
      </c>
      <c r="G30" s="18">
        <v>1884.2691482435639</v>
      </c>
      <c r="H30" s="18">
        <v>1897.1892221876697</v>
      </c>
      <c r="I30" s="18">
        <v>1981.2965712549742</v>
      </c>
      <c r="J30" s="18">
        <v>2041.9383901455647</v>
      </c>
      <c r="K30" s="18">
        <v>2090.1500776295948</v>
      </c>
      <c r="L30" s="18">
        <v>2031.2795109728856</v>
      </c>
      <c r="M30" s="18">
        <v>1954.9155202116478</v>
      </c>
      <c r="N30" s="18">
        <v>1978.4320513923115</v>
      </c>
      <c r="O30" s="18"/>
      <c r="P30" s="18"/>
      <c r="Q30" s="18">
        <v>1979.5401129685547</v>
      </c>
      <c r="R30" s="18">
        <v>1968.9557686899871</v>
      </c>
      <c r="S30" s="18">
        <v>1944.667878528719</v>
      </c>
      <c r="T30" s="18">
        <v>1986.7869316991573</v>
      </c>
      <c r="U30" s="18">
        <v>2006.8924579545449</v>
      </c>
      <c r="V30" s="18">
        <v>1927.3781054077049</v>
      </c>
      <c r="W30" s="18">
        <v>1932.3779796721267</v>
      </c>
      <c r="X30" s="18">
        <v>1911.7322322653185</v>
      </c>
      <c r="Y30" s="18">
        <v>1873.3752041548412</v>
      </c>
      <c r="Z30" s="18">
        <v>1870.545096632897</v>
      </c>
      <c r="AA30" s="18">
        <v>2022.7821882816168</v>
      </c>
      <c r="AB30" s="18">
        <v>2029.5561661076713</v>
      </c>
      <c r="AC30" s="18">
        <v>1984.2078889385139</v>
      </c>
      <c r="AD30" s="18">
        <v>2067.7460705159979</v>
      </c>
      <c r="AE30" s="19">
        <v>2128.0521096297116</v>
      </c>
      <c r="AF30" s="19">
        <v>2190.6004090952933</v>
      </c>
      <c r="AG30" s="19">
        <v>2260.7552187547794</v>
      </c>
      <c r="AH30" s="19">
        <v>2169.2808868632615</v>
      </c>
      <c r="AI30" s="18">
        <v>22.066468620353</v>
      </c>
    </row>
    <row r="31" spans="1:38" x14ac:dyDescent="0.25">
      <c r="A31" s="16" t="s">
        <v>79</v>
      </c>
      <c r="B31" s="18" t="s">
        <v>65</v>
      </c>
      <c r="C31" s="18" t="s">
        <v>65</v>
      </c>
      <c r="D31" s="18" t="s">
        <v>65</v>
      </c>
      <c r="E31" s="18" t="s">
        <v>65</v>
      </c>
      <c r="F31" s="18" t="s">
        <v>65</v>
      </c>
      <c r="G31" s="18" t="s">
        <v>65</v>
      </c>
      <c r="H31" s="18" t="s">
        <v>65</v>
      </c>
      <c r="I31" s="18" t="s">
        <v>65</v>
      </c>
      <c r="J31" s="18" t="s">
        <v>65</v>
      </c>
      <c r="K31" s="18" t="s">
        <v>65</v>
      </c>
      <c r="L31" s="18" t="s">
        <v>65</v>
      </c>
      <c r="M31" s="18" t="s">
        <v>65</v>
      </c>
      <c r="N31" s="18" t="s">
        <v>65</v>
      </c>
      <c r="O31" s="18"/>
      <c r="P31" s="18"/>
      <c r="Q31" s="18" t="s">
        <v>65</v>
      </c>
      <c r="R31" s="18" t="s">
        <v>65</v>
      </c>
      <c r="S31" s="18" t="s">
        <v>65</v>
      </c>
      <c r="T31" s="18" t="s">
        <v>65</v>
      </c>
      <c r="U31" s="18" t="s">
        <v>65</v>
      </c>
      <c r="V31" s="18" t="s">
        <v>65</v>
      </c>
      <c r="W31" s="18" t="s">
        <v>65</v>
      </c>
      <c r="X31" s="18" t="s">
        <v>65</v>
      </c>
      <c r="Y31" s="18" t="s">
        <v>65</v>
      </c>
      <c r="Z31" s="18" t="s">
        <v>65</v>
      </c>
      <c r="AA31" s="18" t="s">
        <v>65</v>
      </c>
      <c r="AB31" s="18" t="s">
        <v>65</v>
      </c>
      <c r="AC31" s="18" t="s">
        <v>65</v>
      </c>
      <c r="AD31" s="18" t="s">
        <v>65</v>
      </c>
      <c r="AE31" s="19" t="s">
        <v>65</v>
      </c>
      <c r="AF31" s="19" t="s">
        <v>65</v>
      </c>
      <c r="AG31" s="19" t="s">
        <v>65</v>
      </c>
      <c r="AH31" s="19" t="s">
        <v>65</v>
      </c>
      <c r="AI31" s="18">
        <v>0</v>
      </c>
    </row>
    <row r="32" spans="1:38" x14ac:dyDescent="0.25">
      <c r="A32" s="16" t="s">
        <v>80</v>
      </c>
      <c r="B32" s="18">
        <v>5820.5003614565994</v>
      </c>
      <c r="C32" s="18">
        <v>5820.5003614565994</v>
      </c>
      <c r="D32" s="18">
        <v>5793.0772928712213</v>
      </c>
      <c r="E32" s="18">
        <v>5707.7685151891255</v>
      </c>
      <c r="F32" s="18">
        <v>5819.6381919995529</v>
      </c>
      <c r="G32" s="18">
        <v>6052.7321555871677</v>
      </c>
      <c r="H32" s="18">
        <v>6305.2129920384532</v>
      </c>
      <c r="I32" s="18">
        <v>6332.6664697806564</v>
      </c>
      <c r="J32" s="18">
        <v>6155.3337634956497</v>
      </c>
      <c r="K32" s="18">
        <v>6500.4410647793256</v>
      </c>
      <c r="L32" s="18">
        <v>6505.6669976670883</v>
      </c>
      <c r="M32" s="18">
        <v>6206.9816756841201</v>
      </c>
      <c r="N32" s="18">
        <v>5923.6874908016271</v>
      </c>
      <c r="O32" s="18"/>
      <c r="P32" s="18"/>
      <c r="Q32" s="18">
        <v>5860.0326077796362</v>
      </c>
      <c r="R32" s="18">
        <v>6034.478447523451</v>
      </c>
      <c r="S32" s="18">
        <v>5926.7106149541632</v>
      </c>
      <c r="T32" s="18">
        <v>5761.1696988943368</v>
      </c>
      <c r="U32" s="18">
        <v>5538.3210419790848</v>
      </c>
      <c r="V32" s="18">
        <v>5328.1930145969682</v>
      </c>
      <c r="W32" s="18">
        <v>5277.1662859074449</v>
      </c>
      <c r="X32" s="18">
        <v>5126.9556530259861</v>
      </c>
      <c r="Y32" s="18">
        <v>5395.7059417245046</v>
      </c>
      <c r="Z32" s="18">
        <v>4997.6679929894517</v>
      </c>
      <c r="AA32" s="18">
        <v>5185.5993170618603</v>
      </c>
      <c r="AB32" s="18">
        <v>5619.1518923465819</v>
      </c>
      <c r="AC32" s="18">
        <v>5382.5171107414017</v>
      </c>
      <c r="AD32" s="18">
        <v>5414.0745174810827</v>
      </c>
      <c r="AE32" s="19">
        <v>5469.1204460166064</v>
      </c>
      <c r="AF32" s="19">
        <v>5777.8428588298993</v>
      </c>
      <c r="AG32" s="19">
        <v>6075.9375370394546</v>
      </c>
      <c r="AH32" s="19">
        <v>5723.3209863736447</v>
      </c>
      <c r="AI32" s="18">
        <v>-1.6696051722030001</v>
      </c>
    </row>
    <row r="33" spans="1:35" x14ac:dyDescent="0.25">
      <c r="A33" s="16" t="s">
        <v>81</v>
      </c>
      <c r="B33" s="18" t="s">
        <v>65</v>
      </c>
      <c r="C33" s="18" t="s">
        <v>65</v>
      </c>
      <c r="D33" s="18" t="s">
        <v>65</v>
      </c>
      <c r="E33" s="18" t="s">
        <v>65</v>
      </c>
      <c r="F33" s="18" t="s">
        <v>65</v>
      </c>
      <c r="G33" s="18" t="s">
        <v>65</v>
      </c>
      <c r="H33" s="18" t="s">
        <v>65</v>
      </c>
      <c r="I33" s="18" t="s">
        <v>65</v>
      </c>
      <c r="J33" s="18" t="s">
        <v>65</v>
      </c>
      <c r="K33" s="18" t="s">
        <v>65</v>
      </c>
      <c r="L33" s="18" t="s">
        <v>65</v>
      </c>
      <c r="M33" s="18" t="s">
        <v>65</v>
      </c>
      <c r="N33" s="18" t="s">
        <v>65</v>
      </c>
      <c r="O33" s="18"/>
      <c r="P33" s="18"/>
      <c r="Q33" s="18" t="s">
        <v>65</v>
      </c>
      <c r="R33" s="18" t="s">
        <v>65</v>
      </c>
      <c r="S33" s="18" t="s">
        <v>65</v>
      </c>
      <c r="T33" s="18" t="s">
        <v>65</v>
      </c>
      <c r="U33" s="18" t="s">
        <v>65</v>
      </c>
      <c r="V33" s="18" t="s">
        <v>65</v>
      </c>
      <c r="W33" s="18" t="s">
        <v>65</v>
      </c>
      <c r="X33" s="18" t="s">
        <v>65</v>
      </c>
      <c r="Y33" s="18" t="s">
        <v>65</v>
      </c>
      <c r="Z33" s="18" t="s">
        <v>65</v>
      </c>
      <c r="AA33" s="18" t="s">
        <v>65</v>
      </c>
      <c r="AB33" s="18" t="s">
        <v>65</v>
      </c>
      <c r="AC33" s="18" t="s">
        <v>65</v>
      </c>
      <c r="AD33" s="18" t="s">
        <v>65</v>
      </c>
      <c r="AE33" s="19" t="s">
        <v>65</v>
      </c>
      <c r="AF33" s="19" t="s">
        <v>65</v>
      </c>
      <c r="AG33" s="19" t="s">
        <v>65</v>
      </c>
      <c r="AH33" s="19" t="s">
        <v>65</v>
      </c>
      <c r="AI33" s="18">
        <v>0</v>
      </c>
    </row>
    <row r="34" spans="1:35" x14ac:dyDescent="0.25">
      <c r="A34" s="16" t="s">
        <v>82</v>
      </c>
      <c r="B34" s="18" t="s">
        <v>65</v>
      </c>
      <c r="C34" s="18" t="s">
        <v>65</v>
      </c>
      <c r="D34" s="18" t="s">
        <v>65</v>
      </c>
      <c r="E34" s="18" t="s">
        <v>65</v>
      </c>
      <c r="F34" s="18" t="s">
        <v>65</v>
      </c>
      <c r="G34" s="18" t="s">
        <v>65</v>
      </c>
      <c r="H34" s="18" t="s">
        <v>65</v>
      </c>
      <c r="I34" s="18" t="s">
        <v>65</v>
      </c>
      <c r="J34" s="18" t="s">
        <v>65</v>
      </c>
      <c r="K34" s="18" t="s">
        <v>65</v>
      </c>
      <c r="L34" s="18" t="s">
        <v>65</v>
      </c>
      <c r="M34" s="18" t="s">
        <v>65</v>
      </c>
      <c r="N34" s="18" t="s">
        <v>65</v>
      </c>
      <c r="O34" s="18"/>
      <c r="P34" s="18"/>
      <c r="Q34" s="18" t="s">
        <v>65</v>
      </c>
      <c r="R34" s="18" t="s">
        <v>65</v>
      </c>
      <c r="S34" s="18" t="s">
        <v>65</v>
      </c>
      <c r="T34" s="18" t="s">
        <v>65</v>
      </c>
      <c r="U34" s="18" t="s">
        <v>65</v>
      </c>
      <c r="V34" s="18" t="s">
        <v>65</v>
      </c>
      <c r="W34" s="18" t="s">
        <v>65</v>
      </c>
      <c r="X34" s="18" t="s">
        <v>65</v>
      </c>
      <c r="Y34" s="18" t="s">
        <v>65</v>
      </c>
      <c r="Z34" s="18" t="s">
        <v>65</v>
      </c>
      <c r="AA34" s="18" t="s">
        <v>65</v>
      </c>
      <c r="AB34" s="18" t="s">
        <v>65</v>
      </c>
      <c r="AC34" s="18" t="s">
        <v>65</v>
      </c>
      <c r="AD34" s="18" t="s">
        <v>65</v>
      </c>
      <c r="AE34" s="19" t="s">
        <v>65</v>
      </c>
      <c r="AF34" s="19" t="s">
        <v>65</v>
      </c>
      <c r="AG34" s="19" t="s">
        <v>65</v>
      </c>
      <c r="AH34" s="19" t="s">
        <v>65</v>
      </c>
      <c r="AI34" s="18">
        <v>0</v>
      </c>
    </row>
    <row r="35" spans="1:35" x14ac:dyDescent="0.25">
      <c r="A35" s="16" t="s">
        <v>83</v>
      </c>
      <c r="B35" s="18">
        <v>355.036</v>
      </c>
      <c r="C35" s="18">
        <v>355.036</v>
      </c>
      <c r="D35" s="18">
        <v>315.14515999999998</v>
      </c>
      <c r="E35" s="18">
        <v>255.60083999999998</v>
      </c>
      <c r="F35" s="18">
        <v>357.2998</v>
      </c>
      <c r="G35" s="18">
        <v>269.64124000000004</v>
      </c>
      <c r="H35" s="18">
        <v>494.59520000000003</v>
      </c>
      <c r="I35" s="18">
        <v>484.03343999999993</v>
      </c>
      <c r="J35" s="18">
        <v>423.48680000000002</v>
      </c>
      <c r="K35" s="18">
        <v>305.58044000000001</v>
      </c>
      <c r="L35" s="18">
        <v>383.22723999999999</v>
      </c>
      <c r="M35" s="18">
        <v>366.38315999999998</v>
      </c>
      <c r="N35" s="18">
        <v>385.28247999999996</v>
      </c>
      <c r="O35" s="18"/>
      <c r="P35" s="18"/>
      <c r="Q35" s="18">
        <v>273.89956000000001</v>
      </c>
      <c r="R35" s="18">
        <v>386.76</v>
      </c>
      <c r="S35" s="18">
        <v>240.79571999999996</v>
      </c>
      <c r="T35" s="18">
        <v>266.73371999999995</v>
      </c>
      <c r="U35" s="18">
        <v>254.85636</v>
      </c>
      <c r="V35" s="18">
        <v>376.76671999999996</v>
      </c>
      <c r="W35" s="18">
        <v>262.20744000000002</v>
      </c>
      <c r="X35" s="18">
        <v>307.32239999999996</v>
      </c>
      <c r="Y35" s="18">
        <v>427.93387999999993</v>
      </c>
      <c r="Z35" s="18">
        <v>360.67856</v>
      </c>
      <c r="AA35" s="18">
        <v>229.39619999999999</v>
      </c>
      <c r="AB35" s="18">
        <v>515.69275999999991</v>
      </c>
      <c r="AC35" s="18">
        <v>391.07495680000005</v>
      </c>
      <c r="AD35" s="18">
        <v>401.14668</v>
      </c>
      <c r="AE35" s="19">
        <v>433.59667999999999</v>
      </c>
      <c r="AF35" s="19">
        <v>332.74647999999996</v>
      </c>
      <c r="AG35" s="19">
        <v>461.05708000000004</v>
      </c>
      <c r="AH35" s="19">
        <v>343.90247759999994</v>
      </c>
      <c r="AI35" s="18">
        <v>-3.1358854876689999</v>
      </c>
    </row>
    <row r="36" spans="1:35" x14ac:dyDescent="0.25">
      <c r="A36" s="16" t="s">
        <v>84</v>
      </c>
      <c r="B36" s="18">
        <v>96.677023188405784</v>
      </c>
      <c r="C36" s="18">
        <v>96.677023188405784</v>
      </c>
      <c r="D36" s="18">
        <v>99.628382821946872</v>
      </c>
      <c r="E36" s="18">
        <v>118.08579710144927</v>
      </c>
      <c r="F36" s="18">
        <v>99.875217391304361</v>
      </c>
      <c r="G36" s="18">
        <v>98.719420289855051</v>
      </c>
      <c r="H36" s="18">
        <v>86.267101449275344</v>
      </c>
      <c r="I36" s="18">
        <v>87.18695652173912</v>
      </c>
      <c r="J36" s="18">
        <v>82.633913043478259</v>
      </c>
      <c r="K36" s="18">
        <v>95.371594202898564</v>
      </c>
      <c r="L36" s="18">
        <v>103.53391304347825</v>
      </c>
      <c r="M36" s="18">
        <v>91.8436231884058</v>
      </c>
      <c r="N36" s="18">
        <v>83.63666666666667</v>
      </c>
      <c r="O36" s="18"/>
      <c r="P36" s="18"/>
      <c r="Q36" s="18">
        <v>80.805362318840594</v>
      </c>
      <c r="R36" s="18">
        <v>78.482608695652175</v>
      </c>
      <c r="S36" s="18">
        <v>66.857681159420295</v>
      </c>
      <c r="T36" s="18">
        <v>60.814599999999999</v>
      </c>
      <c r="U36" s="18">
        <v>64.755533333333346</v>
      </c>
      <c r="V36" s="18">
        <v>50.899933333333337</v>
      </c>
      <c r="W36" s="18">
        <v>66.973133333333351</v>
      </c>
      <c r="X36" s="18">
        <v>89.020800000000008</v>
      </c>
      <c r="Y36" s="18">
        <v>98.243200000000016</v>
      </c>
      <c r="Z36" s="18">
        <v>70.265799999999999</v>
      </c>
      <c r="AA36" s="18">
        <v>46.351066666666682</v>
      </c>
      <c r="AB36" s="18">
        <v>47.090266666666672</v>
      </c>
      <c r="AC36" s="18">
        <v>54.549733333333343</v>
      </c>
      <c r="AD36" s="18">
        <v>64.265666666666661</v>
      </c>
      <c r="AE36" s="19">
        <v>79.107600000000019</v>
      </c>
      <c r="AF36" s="19">
        <v>83.988666666666674</v>
      </c>
      <c r="AG36" s="19">
        <v>88.762666666666675</v>
      </c>
      <c r="AH36" s="19">
        <v>91.980533333333341</v>
      </c>
      <c r="AI36" s="18">
        <v>-4.8579173211819997</v>
      </c>
    </row>
    <row r="37" spans="1:35" x14ac:dyDescent="0.25">
      <c r="A37" s="16" t="s">
        <v>85</v>
      </c>
      <c r="B37" s="18" t="s">
        <v>65</v>
      </c>
      <c r="C37" s="18" t="s">
        <v>65</v>
      </c>
      <c r="D37" s="18" t="s">
        <v>65</v>
      </c>
      <c r="E37" s="18" t="s">
        <v>65</v>
      </c>
      <c r="F37" s="18" t="s">
        <v>65</v>
      </c>
      <c r="G37" s="18" t="s">
        <v>65</v>
      </c>
      <c r="H37" s="18" t="s">
        <v>65</v>
      </c>
      <c r="I37" s="18" t="s">
        <v>65</v>
      </c>
      <c r="J37" s="18" t="s">
        <v>65</v>
      </c>
      <c r="K37" s="18" t="s">
        <v>65</v>
      </c>
      <c r="L37" s="18" t="s">
        <v>65</v>
      </c>
      <c r="M37" s="18" t="s">
        <v>65</v>
      </c>
      <c r="N37" s="18" t="s">
        <v>65</v>
      </c>
      <c r="O37" s="18"/>
      <c r="P37" s="18"/>
      <c r="Q37" s="18" t="s">
        <v>65</v>
      </c>
      <c r="R37" s="18" t="s">
        <v>65</v>
      </c>
      <c r="S37" s="18" t="s">
        <v>65</v>
      </c>
      <c r="T37" s="18" t="s">
        <v>65</v>
      </c>
      <c r="U37" s="18" t="s">
        <v>65</v>
      </c>
      <c r="V37" s="18" t="s">
        <v>65</v>
      </c>
      <c r="W37" s="18" t="s">
        <v>65</v>
      </c>
      <c r="X37" s="18" t="s">
        <v>65</v>
      </c>
      <c r="Y37" s="18" t="s">
        <v>65</v>
      </c>
      <c r="Z37" s="18" t="s">
        <v>65</v>
      </c>
      <c r="AA37" s="18" t="s">
        <v>65</v>
      </c>
      <c r="AB37" s="18" t="s">
        <v>65</v>
      </c>
      <c r="AC37" s="18" t="s">
        <v>65</v>
      </c>
      <c r="AD37" s="18" t="s">
        <v>65</v>
      </c>
      <c r="AE37" s="19" t="s">
        <v>65</v>
      </c>
      <c r="AF37" s="19" t="s">
        <v>65</v>
      </c>
      <c r="AG37" s="19" t="s">
        <v>65</v>
      </c>
      <c r="AH37" s="19" t="s">
        <v>65</v>
      </c>
      <c r="AI37" s="18">
        <v>0</v>
      </c>
    </row>
    <row r="38" spans="1:35" x14ac:dyDescent="0.25">
      <c r="A38" s="16" t="s">
        <v>86</v>
      </c>
      <c r="B38" s="18" t="s">
        <v>65</v>
      </c>
      <c r="C38" s="18" t="s">
        <v>65</v>
      </c>
      <c r="D38" s="18" t="s">
        <v>65</v>
      </c>
      <c r="E38" s="18" t="s">
        <v>65</v>
      </c>
      <c r="F38" s="18" t="s">
        <v>65</v>
      </c>
      <c r="G38" s="18" t="s">
        <v>65</v>
      </c>
      <c r="H38" s="18" t="s">
        <v>65</v>
      </c>
      <c r="I38" s="18" t="s">
        <v>65</v>
      </c>
      <c r="J38" s="18" t="s">
        <v>65</v>
      </c>
      <c r="K38" s="18" t="s">
        <v>65</v>
      </c>
      <c r="L38" s="18" t="s">
        <v>65</v>
      </c>
      <c r="M38" s="18" t="s">
        <v>65</v>
      </c>
      <c r="N38" s="18" t="s">
        <v>65</v>
      </c>
      <c r="O38" s="18"/>
      <c r="P38" s="18"/>
      <c r="Q38" s="18" t="s">
        <v>65</v>
      </c>
      <c r="R38" s="18" t="s">
        <v>65</v>
      </c>
      <c r="S38" s="18" t="s">
        <v>65</v>
      </c>
      <c r="T38" s="18" t="s">
        <v>65</v>
      </c>
      <c r="U38" s="18" t="s">
        <v>65</v>
      </c>
      <c r="V38" s="18" t="s">
        <v>65</v>
      </c>
      <c r="W38" s="18" t="s">
        <v>65</v>
      </c>
      <c r="X38" s="18" t="s">
        <v>65</v>
      </c>
      <c r="Y38" s="18" t="s">
        <v>65</v>
      </c>
      <c r="Z38" s="18" t="s">
        <v>65</v>
      </c>
      <c r="AA38" s="18" t="s">
        <v>65</v>
      </c>
      <c r="AB38" s="18" t="s">
        <v>65</v>
      </c>
      <c r="AC38" s="18" t="s">
        <v>65</v>
      </c>
      <c r="AD38" s="18" t="s">
        <v>65</v>
      </c>
      <c r="AE38" s="19" t="s">
        <v>65</v>
      </c>
      <c r="AF38" s="19" t="s">
        <v>65</v>
      </c>
      <c r="AG38" s="19" t="s">
        <v>65</v>
      </c>
      <c r="AH38" s="19" t="s">
        <v>65</v>
      </c>
      <c r="AI38" s="18">
        <v>0</v>
      </c>
    </row>
    <row r="39" spans="1:35" ht="14" x14ac:dyDescent="0.25">
      <c r="A39" s="22" t="s">
        <v>87</v>
      </c>
      <c r="B39" s="14">
        <v>5131.0832013955924</v>
      </c>
      <c r="C39" s="14">
        <v>5131.0832013955924</v>
      </c>
      <c r="D39" s="14">
        <v>4974.8829613732778</v>
      </c>
      <c r="E39" s="14">
        <v>4690.1483704622133</v>
      </c>
      <c r="F39" s="14">
        <v>4602.6537792863628</v>
      </c>
      <c r="G39" s="14">
        <v>4708.7921360530763</v>
      </c>
      <c r="H39" s="14">
        <v>5690.5334394131332</v>
      </c>
      <c r="I39" s="14">
        <v>5291.2487779477651</v>
      </c>
      <c r="J39" s="14">
        <v>4597.4667538207977</v>
      </c>
      <c r="K39" s="14">
        <v>4370.0565612218397</v>
      </c>
      <c r="L39" s="14">
        <v>4486.6720956222516</v>
      </c>
      <c r="M39" s="14">
        <v>5884.6696061295406</v>
      </c>
      <c r="N39" s="14">
        <v>7196.000543057954</v>
      </c>
      <c r="O39" s="14"/>
      <c r="P39" s="14"/>
      <c r="Q39" s="14">
        <v>6834.8402080449669</v>
      </c>
      <c r="R39" s="14">
        <v>7133.2687813378316</v>
      </c>
      <c r="S39" s="14">
        <v>5470.671637918218</v>
      </c>
      <c r="T39" s="14">
        <v>5984.1811115415849</v>
      </c>
      <c r="U39" s="14">
        <v>6410.5085223843689</v>
      </c>
      <c r="V39" s="14">
        <v>5622.9526707006771</v>
      </c>
      <c r="W39" s="14">
        <v>4845.5085522287145</v>
      </c>
      <c r="X39" s="14">
        <v>4570.5923824251604</v>
      </c>
      <c r="Y39" s="14">
        <v>6242.4445780916876</v>
      </c>
      <c r="Z39" s="14">
        <v>5485.4639314813385</v>
      </c>
      <c r="AA39" s="14">
        <v>4452.8642233476739</v>
      </c>
      <c r="AB39" s="14">
        <v>4574.0546027771588</v>
      </c>
      <c r="AC39" s="14">
        <v>5936.7803017263459</v>
      </c>
      <c r="AD39" s="14">
        <v>5578.2761523502923</v>
      </c>
      <c r="AE39" s="14">
        <v>4984.0316045835107</v>
      </c>
      <c r="AF39" s="14">
        <v>6485.6829581525208</v>
      </c>
      <c r="AG39" s="14">
        <v>4786.0273412621782</v>
      </c>
      <c r="AH39" s="14">
        <v>4442.6196063103698</v>
      </c>
      <c r="AI39" s="14">
        <v>-13.417509871949999</v>
      </c>
    </row>
    <row r="40" spans="1:35" x14ac:dyDescent="0.25">
      <c r="A40" s="16" t="s">
        <v>88</v>
      </c>
      <c r="B40" s="18">
        <v>-3711.0566924867499</v>
      </c>
      <c r="C40" s="18">
        <v>-3711.0566924867499</v>
      </c>
      <c r="D40" s="18">
        <v>-3848.7731068481644</v>
      </c>
      <c r="E40" s="18">
        <v>-3262.6149185287227</v>
      </c>
      <c r="F40" s="18">
        <v>-3488.6301010366569</v>
      </c>
      <c r="G40" s="18">
        <v>-3085.2485126190941</v>
      </c>
      <c r="H40" s="18">
        <v>-2741.5820869547633</v>
      </c>
      <c r="I40" s="18">
        <v>-2547.7277751310321</v>
      </c>
      <c r="J40" s="18">
        <v>-3451.8109486259782</v>
      </c>
      <c r="K40" s="18">
        <v>-3002.1887045086669</v>
      </c>
      <c r="L40" s="18">
        <v>-2925.7716200743712</v>
      </c>
      <c r="M40" s="18">
        <v>-1968.7889876207491</v>
      </c>
      <c r="N40" s="18">
        <v>-2212.3367656983751</v>
      </c>
      <c r="O40" s="18"/>
      <c r="P40" s="18"/>
      <c r="Q40" s="18">
        <v>-2197.9744437418167</v>
      </c>
      <c r="R40" s="18">
        <v>-2363.8323124626559</v>
      </c>
      <c r="S40" s="18">
        <v>-3205.973991940235</v>
      </c>
      <c r="T40" s="18">
        <v>-2984.5482482785346</v>
      </c>
      <c r="U40" s="18">
        <v>-3244.6512502365754</v>
      </c>
      <c r="V40" s="18">
        <v>-2976.3468414638087</v>
      </c>
      <c r="W40" s="18">
        <v>-4225.4699956777749</v>
      </c>
      <c r="X40" s="18">
        <v>-4049.7343294912962</v>
      </c>
      <c r="Y40" s="18">
        <v>-3690.3826100151718</v>
      </c>
      <c r="Z40" s="18">
        <v>-3751.8740017619002</v>
      </c>
      <c r="AA40" s="18">
        <v>-4495.05342431589</v>
      </c>
      <c r="AB40" s="18">
        <v>-5289.6015445760377</v>
      </c>
      <c r="AC40" s="18">
        <v>-4070.3709513137692</v>
      </c>
      <c r="AD40" s="18">
        <v>-4851.1331258709315</v>
      </c>
      <c r="AE40" s="19">
        <v>-4218.7949463832401</v>
      </c>
      <c r="AF40" s="19">
        <v>-3601.163684333636</v>
      </c>
      <c r="AG40" s="19">
        <v>-3964.5411282501832</v>
      </c>
      <c r="AH40" s="19">
        <v>-4433.6867310122334</v>
      </c>
      <c r="AI40" s="18">
        <v>19.472352443133001</v>
      </c>
    </row>
    <row r="41" spans="1:35" x14ac:dyDescent="0.25">
      <c r="A41" s="16" t="s">
        <v>89</v>
      </c>
      <c r="B41" s="18">
        <v>20.30634464402987</v>
      </c>
      <c r="C41" s="18">
        <v>20.30634464402987</v>
      </c>
      <c r="D41" s="18">
        <v>85.095172814169132</v>
      </c>
      <c r="E41" s="18">
        <v>58.10876676988704</v>
      </c>
      <c r="F41" s="18">
        <v>24.69327016244841</v>
      </c>
      <c r="G41" s="18">
        <v>64.013313967958837</v>
      </c>
      <c r="H41" s="18">
        <v>88.847321143575854</v>
      </c>
      <c r="I41" s="18">
        <v>41.702041040752057</v>
      </c>
      <c r="J41" s="18">
        <v>95.264035897489634</v>
      </c>
      <c r="K41" s="18">
        <v>21.800745772980338</v>
      </c>
      <c r="L41" s="18">
        <v>125.63998750232751</v>
      </c>
      <c r="M41" s="18">
        <v>74.238208332911029</v>
      </c>
      <c r="N41" s="18">
        <v>258.96377456890161</v>
      </c>
      <c r="O41" s="18"/>
      <c r="P41" s="18"/>
      <c r="Q41" s="18">
        <v>258.59696842627733</v>
      </c>
      <c r="R41" s="18">
        <v>146.93334330324231</v>
      </c>
      <c r="S41" s="18">
        <v>148.51637129941275</v>
      </c>
      <c r="T41" s="18">
        <v>102.56417087254398</v>
      </c>
      <c r="U41" s="18">
        <v>-0.84584306650140995</v>
      </c>
      <c r="V41" s="18">
        <v>70.693178213160394</v>
      </c>
      <c r="W41" s="18">
        <v>249.35512877495256</v>
      </c>
      <c r="X41" s="18">
        <v>13.36725667421072</v>
      </c>
      <c r="Y41" s="18">
        <v>-74.379184933356839</v>
      </c>
      <c r="Z41" s="18">
        <v>44.848083877926051</v>
      </c>
      <c r="AA41" s="18">
        <v>101.60044464064728</v>
      </c>
      <c r="AB41" s="18">
        <v>39.264167787819297</v>
      </c>
      <c r="AC41" s="18">
        <v>1.6869817298580401</v>
      </c>
      <c r="AD41" s="18">
        <v>-9.4559773005731103</v>
      </c>
      <c r="AE41" s="19">
        <v>-42.967287159748352</v>
      </c>
      <c r="AF41" s="19">
        <v>-43.19472459537932</v>
      </c>
      <c r="AG41" s="19">
        <v>-129.26469763908526</v>
      </c>
      <c r="AH41" s="19">
        <v>-110.12414225200612</v>
      </c>
      <c r="AI41" s="18">
        <v>-642.31396237226295</v>
      </c>
    </row>
    <row r="42" spans="1:35" x14ac:dyDescent="0.25">
      <c r="A42" s="16" t="s">
        <v>90</v>
      </c>
      <c r="B42" s="18">
        <v>7249.4424779401716</v>
      </c>
      <c r="C42" s="18">
        <v>7249.4424779401716</v>
      </c>
      <c r="D42" s="18">
        <v>7357.3863813646149</v>
      </c>
      <c r="E42" s="18">
        <v>6767.5177897042968</v>
      </c>
      <c r="F42" s="18">
        <v>6411.2777295244941</v>
      </c>
      <c r="G42" s="18">
        <v>6258.204045674137</v>
      </c>
      <c r="H42" s="18">
        <v>6462.5224715649483</v>
      </c>
      <c r="I42" s="18">
        <v>6120.4108135341694</v>
      </c>
      <c r="J42" s="18">
        <v>6523.5781954196009</v>
      </c>
      <c r="K42" s="18">
        <v>6252.9931228300247</v>
      </c>
      <c r="L42" s="18">
        <v>6186.1653753757482</v>
      </c>
      <c r="M42" s="18">
        <v>6843.8373557369323</v>
      </c>
      <c r="N42" s="18">
        <v>6722.1874058797921</v>
      </c>
      <c r="O42" s="18"/>
      <c r="P42" s="18"/>
      <c r="Q42" s="18">
        <v>7100.3291770546466</v>
      </c>
      <c r="R42" s="18">
        <v>6797.4197682805734</v>
      </c>
      <c r="S42" s="18">
        <v>6466.844846293071</v>
      </c>
      <c r="T42" s="18">
        <v>6745.6515015494242</v>
      </c>
      <c r="U42" s="18">
        <v>6601.7076817591524</v>
      </c>
      <c r="V42" s="18">
        <v>6608.3975072494377</v>
      </c>
      <c r="W42" s="18">
        <v>6855.9333904486466</v>
      </c>
      <c r="X42" s="18">
        <v>7036.2392986495497</v>
      </c>
      <c r="Y42" s="18">
        <v>6933.8966091418124</v>
      </c>
      <c r="Z42" s="18">
        <v>6906.3291553873441</v>
      </c>
      <c r="AA42" s="18">
        <v>7048.8151211704298</v>
      </c>
      <c r="AB42" s="18">
        <v>7429.1678149350746</v>
      </c>
      <c r="AC42" s="18">
        <v>6930.4332132254967</v>
      </c>
      <c r="AD42" s="18">
        <v>6923.3604963171565</v>
      </c>
      <c r="AE42" s="19">
        <v>6949.2445063846317</v>
      </c>
      <c r="AF42" s="19">
        <v>6966.5813409989014</v>
      </c>
      <c r="AG42" s="19">
        <v>7022.164027441534</v>
      </c>
      <c r="AH42" s="19">
        <v>7013.962570217569</v>
      </c>
      <c r="AI42" s="18">
        <v>-3.2482485162020001</v>
      </c>
    </row>
    <row r="43" spans="1:35" x14ac:dyDescent="0.25">
      <c r="A43" s="16" t="s">
        <v>91</v>
      </c>
      <c r="B43" s="18">
        <v>1897.7976789307072</v>
      </c>
      <c r="C43" s="18">
        <v>1897.7976789307072</v>
      </c>
      <c r="D43" s="18">
        <v>1713.5157334761418</v>
      </c>
      <c r="E43" s="18">
        <v>1595.8154992744142</v>
      </c>
      <c r="F43" s="18">
        <v>2162.5764819204228</v>
      </c>
      <c r="G43" s="18">
        <v>2003.4385755514866</v>
      </c>
      <c r="H43" s="18">
        <v>2417.664833172465</v>
      </c>
      <c r="I43" s="18">
        <v>2300.6996144869381</v>
      </c>
      <c r="J43" s="18">
        <v>2041.0905099351194</v>
      </c>
      <c r="K43" s="18">
        <v>1798.7887226688072</v>
      </c>
      <c r="L43" s="18">
        <v>1767.1736690400683</v>
      </c>
      <c r="M43" s="18">
        <v>1791.9506329435526</v>
      </c>
      <c r="N43" s="18">
        <v>3206.8132860969977</v>
      </c>
      <c r="O43" s="18"/>
      <c r="P43" s="18"/>
      <c r="Q43" s="18">
        <v>2296.603915136624</v>
      </c>
      <c r="R43" s="18">
        <v>3337.855671153186</v>
      </c>
      <c r="S43" s="18">
        <v>2721.3401217751293</v>
      </c>
      <c r="T43" s="18">
        <v>2789.3436666508801</v>
      </c>
      <c r="U43" s="18">
        <v>2362.6104337227616</v>
      </c>
      <c r="V43" s="18">
        <v>2474.2985737287167</v>
      </c>
      <c r="W43" s="18">
        <v>2084.072125253314</v>
      </c>
      <c r="X43" s="18">
        <v>1914.6529441125813</v>
      </c>
      <c r="Y43" s="18">
        <v>3514.8123379680601</v>
      </c>
      <c r="Z43" s="18">
        <v>2839.3764146212507</v>
      </c>
      <c r="AA43" s="18">
        <v>2081.3569184424055</v>
      </c>
      <c r="AB43" s="18">
        <v>2861.599586877805</v>
      </c>
      <c r="AC43" s="18">
        <v>3653.3629161473414</v>
      </c>
      <c r="AD43" s="18">
        <v>4046.5280757972664</v>
      </c>
      <c r="AE43" s="19">
        <v>2899.7291079158917</v>
      </c>
      <c r="AF43" s="19">
        <v>3802.346763555297</v>
      </c>
      <c r="AG43" s="19">
        <v>2461.9858810654746</v>
      </c>
      <c r="AH43" s="19">
        <v>2331.5418868163256</v>
      </c>
      <c r="AI43" s="18">
        <v>22.855134280173001</v>
      </c>
    </row>
    <row r="44" spans="1:35" x14ac:dyDescent="0.25">
      <c r="A44" s="16" t="s">
        <v>92</v>
      </c>
      <c r="B44" s="18">
        <v>86.749654401493714</v>
      </c>
      <c r="C44" s="18">
        <v>86.749654401493714</v>
      </c>
      <c r="D44" s="18">
        <v>76.319715225920405</v>
      </c>
      <c r="E44" s="18">
        <v>90.849535162825305</v>
      </c>
      <c r="F44" s="18">
        <v>77.992283942728008</v>
      </c>
      <c r="G44" s="18">
        <v>112.91643221602513</v>
      </c>
      <c r="H44" s="18">
        <v>119.3702394944993</v>
      </c>
      <c r="I44" s="18">
        <v>136.04548040770635</v>
      </c>
      <c r="J44" s="18">
        <v>150.82885501722771</v>
      </c>
      <c r="K44" s="18">
        <v>166.94134670799698</v>
      </c>
      <c r="L44" s="18">
        <v>183.0488197916446</v>
      </c>
      <c r="M44" s="18">
        <v>212.09808487472759</v>
      </c>
      <c r="N44" s="18">
        <v>276.45198772032086</v>
      </c>
      <c r="O44" s="18"/>
      <c r="P44" s="18"/>
      <c r="Q44" s="18">
        <v>268.42715861303287</v>
      </c>
      <c r="R44" s="18">
        <v>332.10100769903875</v>
      </c>
      <c r="S44" s="18">
        <v>363.29976522692726</v>
      </c>
      <c r="T44" s="18">
        <v>391.39701087400374</v>
      </c>
      <c r="U44" s="18">
        <v>477.89118031466592</v>
      </c>
      <c r="V44" s="18">
        <v>597.31915102672269</v>
      </c>
      <c r="W44" s="18">
        <v>499.04140581320615</v>
      </c>
      <c r="X44" s="18">
        <v>302.34042286478399</v>
      </c>
      <c r="Y44" s="18">
        <v>315.09909587848261</v>
      </c>
      <c r="Z44" s="18">
        <v>126.46503509822335</v>
      </c>
      <c r="AA44" s="18">
        <v>322.77612724799451</v>
      </c>
      <c r="AB44" s="18">
        <v>134.0776102506353</v>
      </c>
      <c r="AC44" s="18">
        <v>122.96371032205198</v>
      </c>
      <c r="AD44" s="18">
        <v>138.46189595231968</v>
      </c>
      <c r="AE44" s="19">
        <v>143.84096174553369</v>
      </c>
      <c r="AF44" s="19">
        <v>175.82194192025796</v>
      </c>
      <c r="AG44" s="19">
        <v>169.7725438146654</v>
      </c>
      <c r="AH44" s="19">
        <v>209.83997125614451</v>
      </c>
      <c r="AI44" s="18">
        <v>141.891420437211</v>
      </c>
    </row>
    <row r="45" spans="1:35" x14ac:dyDescent="0.25">
      <c r="A45" s="16" t="s">
        <v>93</v>
      </c>
      <c r="B45" s="18">
        <v>0.88720521155219001</v>
      </c>
      <c r="C45" s="18">
        <v>0.88720521155219001</v>
      </c>
      <c r="D45" s="18">
        <v>0.97162864012546002</v>
      </c>
      <c r="E45" s="18">
        <v>1.05605206869576</v>
      </c>
      <c r="F45" s="18">
        <v>1.1404754972690301</v>
      </c>
      <c r="G45" s="18">
        <v>1.2248989258393199</v>
      </c>
      <c r="H45" s="18">
        <v>23.409380413821388</v>
      </c>
      <c r="I45" s="18">
        <v>29.835965975724061</v>
      </c>
      <c r="J45" s="18">
        <v>32.39169340429634</v>
      </c>
      <c r="K45" s="18">
        <v>34.947420832868623</v>
      </c>
      <c r="L45" s="18">
        <v>37.503148261437921</v>
      </c>
      <c r="M45" s="18">
        <v>54.586338374226962</v>
      </c>
      <c r="N45" s="18">
        <v>59.875575324952571</v>
      </c>
      <c r="O45" s="18"/>
      <c r="P45" s="18"/>
      <c r="Q45" s="18">
        <v>62.267679324950578</v>
      </c>
      <c r="R45" s="18">
        <v>64.659783324951576</v>
      </c>
      <c r="S45" s="18">
        <v>67.051887324952574</v>
      </c>
      <c r="T45" s="18">
        <v>69.443991324950545</v>
      </c>
      <c r="U45" s="18">
        <v>1487.7164259047624</v>
      </c>
      <c r="V45" s="18">
        <v>46.863092571427728</v>
      </c>
      <c r="W45" s="18">
        <v>70.733547746034034</v>
      </c>
      <c r="X45" s="18">
        <v>62.212806857142581</v>
      </c>
      <c r="Y45" s="18">
        <v>62.128383428572292</v>
      </c>
      <c r="Z45" s="18">
        <v>62.043959999999018</v>
      </c>
      <c r="AA45" s="18">
        <v>61.959536571428721</v>
      </c>
      <c r="AB45" s="18">
        <v>61.875113142858432</v>
      </c>
      <c r="AC45" s="18">
        <v>61.875113142858432</v>
      </c>
      <c r="AD45" s="18">
        <v>59.234962285712882</v>
      </c>
      <c r="AE45" s="19">
        <v>56.679234857143577</v>
      </c>
      <c r="AF45" s="19">
        <v>54.123507428571301</v>
      </c>
      <c r="AG45" s="19">
        <v>51.567779900666679</v>
      </c>
      <c r="AH45" s="19">
        <v>49.019253734796983</v>
      </c>
      <c r="AI45" s="18">
        <v>5425.1314010020797</v>
      </c>
    </row>
    <row r="46" spans="1:35" x14ac:dyDescent="0.25">
      <c r="A46" s="16" t="s">
        <v>94</v>
      </c>
      <c r="B46" s="18">
        <v>-413.04346724561293</v>
      </c>
      <c r="C46" s="18">
        <v>-413.04346724561293</v>
      </c>
      <c r="D46" s="18">
        <v>-409.63256329952986</v>
      </c>
      <c r="E46" s="18">
        <v>-560.58435398918311</v>
      </c>
      <c r="F46" s="18">
        <v>-586.39636072434257</v>
      </c>
      <c r="G46" s="18">
        <v>-645.75661766327653</v>
      </c>
      <c r="H46" s="18">
        <v>-679.6987194214139</v>
      </c>
      <c r="I46" s="18">
        <v>-789.71736236649281</v>
      </c>
      <c r="J46" s="18">
        <v>-793.8755872269578</v>
      </c>
      <c r="K46" s="18">
        <v>-903.22609308217091</v>
      </c>
      <c r="L46" s="18">
        <v>-887.08728427460323</v>
      </c>
      <c r="M46" s="18">
        <v>-1123.2520265120611</v>
      </c>
      <c r="N46" s="18">
        <v>-1115.954720834636</v>
      </c>
      <c r="O46" s="18"/>
      <c r="P46" s="18"/>
      <c r="Q46" s="18">
        <v>-953.41024676874827</v>
      </c>
      <c r="R46" s="18">
        <v>-1181.8684799605053</v>
      </c>
      <c r="S46" s="18">
        <v>-1090.4073620610397</v>
      </c>
      <c r="T46" s="18">
        <v>-1129.6709814516839</v>
      </c>
      <c r="U46" s="18">
        <v>-1273.9201060138962</v>
      </c>
      <c r="V46" s="18">
        <v>-1198.271990624979</v>
      </c>
      <c r="W46" s="18">
        <v>-688.15705012966407</v>
      </c>
      <c r="X46" s="18">
        <v>-708.48601724181174</v>
      </c>
      <c r="Y46" s="18">
        <v>-818.73005337671043</v>
      </c>
      <c r="Z46" s="18">
        <v>-741.72471574150427</v>
      </c>
      <c r="AA46" s="18">
        <v>-668.59050040934176</v>
      </c>
      <c r="AB46" s="18">
        <v>-662.32814564099601</v>
      </c>
      <c r="AC46" s="18">
        <v>-763.17068152749141</v>
      </c>
      <c r="AD46" s="18">
        <v>-728.72017483065918</v>
      </c>
      <c r="AE46" s="19">
        <v>-803.69997277670166</v>
      </c>
      <c r="AF46" s="19">
        <v>-868.83218682149072</v>
      </c>
      <c r="AG46" s="19">
        <v>-825.65706507089385</v>
      </c>
      <c r="AH46" s="19">
        <v>-617.93320245022664</v>
      </c>
      <c r="AI46" s="18">
        <v>49.604884582952998</v>
      </c>
    </row>
    <row r="47" spans="1:35" x14ac:dyDescent="0.25">
      <c r="A47" s="16" t="s">
        <v>95</v>
      </c>
      <c r="B47" s="18" t="s">
        <v>65</v>
      </c>
      <c r="C47" s="18" t="s">
        <v>65</v>
      </c>
      <c r="D47" s="18" t="s">
        <v>65</v>
      </c>
      <c r="E47" s="18" t="s">
        <v>65</v>
      </c>
      <c r="F47" s="18" t="s">
        <v>65</v>
      </c>
      <c r="G47" s="18" t="s">
        <v>65</v>
      </c>
      <c r="H47" s="18" t="s">
        <v>65</v>
      </c>
      <c r="I47" s="18" t="s">
        <v>65</v>
      </c>
      <c r="J47" s="18" t="s">
        <v>65</v>
      </c>
      <c r="K47" s="18" t="s">
        <v>65</v>
      </c>
      <c r="L47" s="18" t="s">
        <v>65</v>
      </c>
      <c r="M47" s="18" t="s">
        <v>65</v>
      </c>
      <c r="N47" s="18" t="s">
        <v>65</v>
      </c>
      <c r="O47" s="18"/>
      <c r="P47" s="18"/>
      <c r="Q47" s="18" t="s">
        <v>65</v>
      </c>
      <c r="R47" s="18" t="s">
        <v>65</v>
      </c>
      <c r="S47" s="18" t="s">
        <v>65</v>
      </c>
      <c r="T47" s="18" t="s">
        <v>65</v>
      </c>
      <c r="U47" s="18" t="s">
        <v>65</v>
      </c>
      <c r="V47" s="18" t="s">
        <v>65</v>
      </c>
      <c r="W47" s="18" t="s">
        <v>65</v>
      </c>
      <c r="X47" s="18" t="s">
        <v>65</v>
      </c>
      <c r="Y47" s="18" t="s">
        <v>65</v>
      </c>
      <c r="Z47" s="18" t="s">
        <v>65</v>
      </c>
      <c r="AA47" s="18" t="s">
        <v>65</v>
      </c>
      <c r="AB47" s="18" t="s">
        <v>65</v>
      </c>
      <c r="AC47" s="18" t="s">
        <v>65</v>
      </c>
      <c r="AD47" s="18" t="s">
        <v>65</v>
      </c>
      <c r="AE47" s="19" t="s">
        <v>65</v>
      </c>
      <c r="AF47" s="19" t="s">
        <v>65</v>
      </c>
      <c r="AG47" s="19" t="s">
        <v>65</v>
      </c>
      <c r="AH47" s="19" t="s">
        <v>65</v>
      </c>
      <c r="AI47" s="18">
        <v>0</v>
      </c>
    </row>
    <row r="48" spans="1:35" x14ac:dyDescent="0.25">
      <c r="A48" s="15" t="s">
        <v>96</v>
      </c>
      <c r="B48" s="14">
        <v>1552.0536176909657</v>
      </c>
      <c r="C48" s="14">
        <v>1552.0536176909657</v>
      </c>
      <c r="D48" s="14">
        <v>1632.8113652324846</v>
      </c>
      <c r="E48" s="14">
        <v>1698.2299225574211</v>
      </c>
      <c r="F48" s="14">
        <v>1748.2816571592582</v>
      </c>
      <c r="G48" s="14">
        <v>1792.8493340275654</v>
      </c>
      <c r="H48" s="14">
        <v>1829.1780952628808</v>
      </c>
      <c r="I48" s="14">
        <v>1708.4830322402108</v>
      </c>
      <c r="J48" s="14">
        <v>1432.6262505012091</v>
      </c>
      <c r="K48" s="14">
        <v>1475.5765436871579</v>
      </c>
      <c r="L48" s="14">
        <v>1480.7046945341824</v>
      </c>
      <c r="M48" s="14">
        <v>1492.7703645905106</v>
      </c>
      <c r="N48" s="14">
        <v>1605.3489199626385</v>
      </c>
      <c r="O48" s="14"/>
      <c r="P48" s="14"/>
      <c r="Q48" s="14">
        <v>1710.2325565770916</v>
      </c>
      <c r="R48" s="14">
        <v>1765.4681984593738</v>
      </c>
      <c r="S48" s="14">
        <v>1485.1035878384678</v>
      </c>
      <c r="T48" s="14">
        <v>1291.9683880384264</v>
      </c>
      <c r="U48" s="14">
        <v>1328.1757520911431</v>
      </c>
      <c r="V48" s="14">
        <v>848.83552589138685</v>
      </c>
      <c r="W48" s="14">
        <v>693.80354289533363</v>
      </c>
      <c r="X48" s="14">
        <v>521.64707443401301</v>
      </c>
      <c r="Y48" s="14">
        <v>531.37075488942537</v>
      </c>
      <c r="Z48" s="14">
        <v>621.94477695799299</v>
      </c>
      <c r="AA48" s="14">
        <v>539.69888971898627</v>
      </c>
      <c r="AB48" s="14">
        <v>696.37286514651987</v>
      </c>
      <c r="AC48" s="14">
        <v>883.10286494537513</v>
      </c>
      <c r="AD48" s="14">
        <v>953.91866311629394</v>
      </c>
      <c r="AE48" s="14">
        <v>964.85361846438809</v>
      </c>
      <c r="AF48" s="14">
        <v>938.68775867053375</v>
      </c>
      <c r="AG48" s="14">
        <v>908.84864780240139</v>
      </c>
      <c r="AH48" s="14">
        <v>904.85020272249506</v>
      </c>
      <c r="AI48" s="14">
        <v>-41.699810341046003</v>
      </c>
    </row>
    <row r="49" spans="1:35" x14ac:dyDescent="0.25">
      <c r="A49" s="16" t="s">
        <v>97</v>
      </c>
      <c r="B49" s="18">
        <v>1318.0750046457995</v>
      </c>
      <c r="C49" s="18">
        <v>1318.0750046457995</v>
      </c>
      <c r="D49" s="18">
        <v>1398.5762396203297</v>
      </c>
      <c r="E49" s="18">
        <v>1461.4329391711983</v>
      </c>
      <c r="F49" s="18">
        <v>1510.5881268151277</v>
      </c>
      <c r="G49" s="18">
        <v>1556.0660070268184</v>
      </c>
      <c r="H49" s="18">
        <v>1592.759090270677</v>
      </c>
      <c r="I49" s="18">
        <v>1471.8696106900713</v>
      </c>
      <c r="J49" s="18">
        <v>1212.7245603159165</v>
      </c>
      <c r="K49" s="18">
        <v>1263.4259964598352</v>
      </c>
      <c r="L49" s="18">
        <v>1261.2873970377811</v>
      </c>
      <c r="M49" s="18">
        <v>1268.1637358600644</v>
      </c>
      <c r="N49" s="18">
        <v>1364.4710203505406</v>
      </c>
      <c r="O49" s="18"/>
      <c r="P49" s="18"/>
      <c r="Q49" s="18">
        <v>1437.6433897413656</v>
      </c>
      <c r="R49" s="18">
        <v>1457.1351738766382</v>
      </c>
      <c r="S49" s="18">
        <v>1190.8522842044661</v>
      </c>
      <c r="T49" s="18">
        <v>1006.9985553870778</v>
      </c>
      <c r="U49" s="18">
        <v>1049.295547050838</v>
      </c>
      <c r="V49" s="18">
        <v>615.99279973624346</v>
      </c>
      <c r="W49" s="18">
        <v>463.84204329766402</v>
      </c>
      <c r="X49" s="18">
        <v>284.80490812641051</v>
      </c>
      <c r="Y49" s="18">
        <v>278.64650733286248</v>
      </c>
      <c r="Z49" s="18">
        <v>381.56113356609899</v>
      </c>
      <c r="AA49" s="18">
        <v>302.79154765173922</v>
      </c>
      <c r="AB49" s="18">
        <v>460.96994317368149</v>
      </c>
      <c r="AC49" s="18">
        <v>648.10107072438575</v>
      </c>
      <c r="AD49" s="18">
        <v>726.92670538507696</v>
      </c>
      <c r="AE49" s="19">
        <v>749.56085926208698</v>
      </c>
      <c r="AF49" s="19">
        <v>717.90523816711902</v>
      </c>
      <c r="AG49" s="19">
        <v>692.70934488966395</v>
      </c>
      <c r="AH49" s="19">
        <v>676.87733096838349</v>
      </c>
      <c r="AI49" s="18">
        <v>-48.646524015506998</v>
      </c>
    </row>
    <row r="50" spans="1:35" x14ac:dyDescent="0.25">
      <c r="A50" s="16" t="s">
        <v>98</v>
      </c>
      <c r="B50" s="18" t="s">
        <v>65</v>
      </c>
      <c r="C50" s="18" t="s">
        <v>65</v>
      </c>
      <c r="D50" s="18" t="s">
        <v>65</v>
      </c>
      <c r="E50" s="18" t="s">
        <v>65</v>
      </c>
      <c r="F50" s="18" t="s">
        <v>65</v>
      </c>
      <c r="G50" s="18" t="s">
        <v>65</v>
      </c>
      <c r="H50" s="18" t="s">
        <v>65</v>
      </c>
      <c r="I50" s="18" t="s">
        <v>65</v>
      </c>
      <c r="J50" s="18" t="s">
        <v>65</v>
      </c>
      <c r="K50" s="18" t="s">
        <v>65</v>
      </c>
      <c r="L50" s="18" t="s">
        <v>65</v>
      </c>
      <c r="M50" s="18" t="s">
        <v>65</v>
      </c>
      <c r="N50" s="18">
        <v>3.8134041600000002</v>
      </c>
      <c r="O50" s="18"/>
      <c r="P50" s="18"/>
      <c r="Q50" s="18">
        <v>5.8339097600000001</v>
      </c>
      <c r="R50" s="18">
        <v>8.11426816</v>
      </c>
      <c r="S50" s="18">
        <v>8.5036185599999996</v>
      </c>
      <c r="T50" s="18">
        <v>13.7679104</v>
      </c>
      <c r="U50" s="18">
        <v>13.70170368</v>
      </c>
      <c r="V50" s="18">
        <v>12.484254719999999</v>
      </c>
      <c r="W50" s="18">
        <v>16.44053504</v>
      </c>
      <c r="X50" s="18">
        <v>21.072775679999999</v>
      </c>
      <c r="Y50" s="18">
        <v>46.173183999999999</v>
      </c>
      <c r="Z50" s="18">
        <v>52.424744959999998</v>
      </c>
      <c r="AA50" s="18">
        <v>44.81869056</v>
      </c>
      <c r="AB50" s="18">
        <v>46.481920000000002</v>
      </c>
      <c r="AC50" s="18">
        <v>47.388350640066747</v>
      </c>
      <c r="AD50" s="18">
        <v>38.280618933290143</v>
      </c>
      <c r="AE50" s="19">
        <v>43.129970603455412</v>
      </c>
      <c r="AF50" s="19">
        <v>45.165985978158083</v>
      </c>
      <c r="AG50" s="19">
        <v>44.3662600757633</v>
      </c>
      <c r="AH50" s="19">
        <v>44.3662600757633</v>
      </c>
      <c r="AI50" s="18">
        <v>100</v>
      </c>
    </row>
    <row r="51" spans="1:35" x14ac:dyDescent="0.25">
      <c r="A51" s="16" t="s">
        <v>99</v>
      </c>
      <c r="B51" s="18">
        <v>97.736151786128858</v>
      </c>
      <c r="C51" s="18">
        <v>97.736151786128858</v>
      </c>
      <c r="D51" s="18">
        <v>97.882200732678115</v>
      </c>
      <c r="E51" s="18">
        <v>98.66194187066273</v>
      </c>
      <c r="F51" s="18">
        <v>99.468783822381468</v>
      </c>
      <c r="G51" s="18">
        <v>100.12485467596187</v>
      </c>
      <c r="H51" s="18">
        <v>100.58957019165533</v>
      </c>
      <c r="I51" s="18">
        <v>100.60733564856417</v>
      </c>
      <c r="J51" s="18">
        <v>84.715535539400264</v>
      </c>
      <c r="K51" s="18">
        <v>66.672424749708398</v>
      </c>
      <c r="L51" s="18">
        <v>74.517421147254737</v>
      </c>
      <c r="M51" s="18">
        <v>79.509677802036535</v>
      </c>
      <c r="N51" s="18">
        <v>88.680468027772207</v>
      </c>
      <c r="O51" s="18"/>
      <c r="P51" s="18"/>
      <c r="Q51" s="18">
        <v>114.68022125461793</v>
      </c>
      <c r="R51" s="18">
        <v>161.65310805525445</v>
      </c>
      <c r="S51" s="18">
        <v>149.25923145123917</v>
      </c>
      <c r="T51" s="18">
        <v>132.47789078977445</v>
      </c>
      <c r="U51" s="18">
        <v>130.08429556349836</v>
      </c>
      <c r="V51" s="18">
        <v>84.018016119657105</v>
      </c>
      <c r="W51" s="18">
        <v>69.062305825140953</v>
      </c>
      <c r="X51" s="18">
        <v>70.554009255616933</v>
      </c>
      <c r="Y51" s="18">
        <v>62.094445437771242</v>
      </c>
      <c r="Z51" s="18">
        <v>44.997079427956308</v>
      </c>
      <c r="AA51" s="18">
        <v>48.316555502890047</v>
      </c>
      <c r="AB51" s="18">
        <v>45.162599811443158</v>
      </c>
      <c r="AC51" s="18">
        <v>41.683204244451971</v>
      </c>
      <c r="AD51" s="18">
        <v>42.425007001546831</v>
      </c>
      <c r="AE51" s="19">
        <v>25.043533748889661</v>
      </c>
      <c r="AF51" s="19">
        <v>27.463704720515828</v>
      </c>
      <c r="AG51" s="19">
        <v>23.906869479934699</v>
      </c>
      <c r="AH51" s="19">
        <v>32.526827276452032</v>
      </c>
      <c r="AI51" s="18">
        <v>-66.719758572418002</v>
      </c>
    </row>
    <row r="52" spans="1:35" x14ac:dyDescent="0.25">
      <c r="A52" s="16" t="s">
        <v>100</v>
      </c>
      <c r="B52" s="18">
        <v>136.24246125903738</v>
      </c>
      <c r="C52" s="18">
        <v>136.24246125903738</v>
      </c>
      <c r="D52" s="18">
        <v>136.35292487947666</v>
      </c>
      <c r="E52" s="18">
        <v>138.13504151556018</v>
      </c>
      <c r="F52" s="18">
        <v>138.22474652174898</v>
      </c>
      <c r="G52" s="18">
        <v>136.65847232478515</v>
      </c>
      <c r="H52" s="18">
        <v>135.82943480054854</v>
      </c>
      <c r="I52" s="18">
        <v>136.00608590157535</v>
      </c>
      <c r="J52" s="18">
        <v>135.18615464589246</v>
      </c>
      <c r="K52" s="18">
        <v>145.47812247761425</v>
      </c>
      <c r="L52" s="18">
        <v>144.89987634914635</v>
      </c>
      <c r="M52" s="18">
        <v>145.09695092840957</v>
      </c>
      <c r="N52" s="18">
        <v>148.38402742432575</v>
      </c>
      <c r="O52" s="18"/>
      <c r="P52" s="18"/>
      <c r="Q52" s="18">
        <v>152.07503582110826</v>
      </c>
      <c r="R52" s="18">
        <v>138.56564836748112</v>
      </c>
      <c r="S52" s="18">
        <v>136.48845362276262</v>
      </c>
      <c r="T52" s="18">
        <v>138.72403146157407</v>
      </c>
      <c r="U52" s="18">
        <v>135.09420579680676</v>
      </c>
      <c r="V52" s="18">
        <v>136.34045531548625</v>
      </c>
      <c r="W52" s="18">
        <v>144.45865873252868</v>
      </c>
      <c r="X52" s="18">
        <v>145.21538137198561</v>
      </c>
      <c r="Y52" s="18">
        <v>144.45661811879157</v>
      </c>
      <c r="Z52" s="18">
        <v>142.96181900393768</v>
      </c>
      <c r="AA52" s="18">
        <v>143.77209600435691</v>
      </c>
      <c r="AB52" s="18">
        <v>143.75840216139517</v>
      </c>
      <c r="AC52" s="18">
        <v>145.93023933647061</v>
      </c>
      <c r="AD52" s="18">
        <v>146.28633179638001</v>
      </c>
      <c r="AE52" s="19">
        <v>147.11925484995604</v>
      </c>
      <c r="AF52" s="19">
        <v>148.15282980474086</v>
      </c>
      <c r="AG52" s="19">
        <v>147.86617335703943</v>
      </c>
      <c r="AH52" s="19">
        <v>151.07978440189629</v>
      </c>
      <c r="AI52" s="18">
        <v>10.890381020531001</v>
      </c>
    </row>
    <row r="53" spans="1:35" ht="12" x14ac:dyDescent="0.25">
      <c r="A53" s="16" t="s">
        <v>101</v>
      </c>
      <c r="B53" s="18" t="s">
        <v>65</v>
      </c>
      <c r="C53" s="18" t="s">
        <v>65</v>
      </c>
      <c r="D53" s="18" t="s">
        <v>65</v>
      </c>
      <c r="E53" s="18" t="s">
        <v>65</v>
      </c>
      <c r="F53" s="18" t="s">
        <v>65</v>
      </c>
      <c r="G53" s="18" t="s">
        <v>65</v>
      </c>
      <c r="H53" s="18" t="s">
        <v>65</v>
      </c>
      <c r="I53" s="18" t="s">
        <v>65</v>
      </c>
      <c r="J53" s="18" t="s">
        <v>65</v>
      </c>
      <c r="K53" s="18" t="s">
        <v>65</v>
      </c>
      <c r="L53" s="18" t="s">
        <v>65</v>
      </c>
      <c r="M53" s="18" t="s">
        <v>65</v>
      </c>
      <c r="N53" s="18" t="s">
        <v>65</v>
      </c>
      <c r="O53" s="18"/>
      <c r="P53" s="18"/>
      <c r="Q53" s="18" t="s">
        <v>65</v>
      </c>
      <c r="R53" s="18" t="s">
        <v>65</v>
      </c>
      <c r="S53" s="18" t="s">
        <v>65</v>
      </c>
      <c r="T53" s="18" t="s">
        <v>65</v>
      </c>
      <c r="U53" s="18" t="s">
        <v>65</v>
      </c>
      <c r="V53" s="18" t="s">
        <v>65</v>
      </c>
      <c r="W53" s="18" t="s">
        <v>65</v>
      </c>
      <c r="X53" s="18" t="s">
        <v>65</v>
      </c>
      <c r="Y53" s="18" t="s">
        <v>65</v>
      </c>
      <c r="Z53" s="18" t="s">
        <v>65</v>
      </c>
      <c r="AA53" s="18" t="s">
        <v>65</v>
      </c>
      <c r="AB53" s="18" t="s">
        <v>65</v>
      </c>
      <c r="AC53" s="18" t="s">
        <v>65</v>
      </c>
      <c r="AD53" s="18" t="s">
        <v>65</v>
      </c>
      <c r="AE53" s="19" t="s">
        <v>65</v>
      </c>
      <c r="AF53" s="19" t="s">
        <v>65</v>
      </c>
      <c r="AG53" s="19" t="s">
        <v>65</v>
      </c>
      <c r="AH53" s="19" t="s">
        <v>65</v>
      </c>
      <c r="AI53" s="18">
        <v>0</v>
      </c>
    </row>
    <row r="54" spans="1:35" ht="12" x14ac:dyDescent="0.25">
      <c r="A54" s="23" t="s">
        <v>102</v>
      </c>
      <c r="B54" s="14" t="s">
        <v>65</v>
      </c>
      <c r="C54" s="14" t="s">
        <v>65</v>
      </c>
      <c r="D54" s="14" t="s">
        <v>65</v>
      </c>
      <c r="E54" s="14" t="s">
        <v>65</v>
      </c>
      <c r="F54" s="14" t="s">
        <v>65</v>
      </c>
      <c r="G54" s="14" t="s">
        <v>65</v>
      </c>
      <c r="H54" s="14" t="s">
        <v>65</v>
      </c>
      <c r="I54" s="14" t="s">
        <v>65</v>
      </c>
      <c r="J54" s="14" t="s">
        <v>65</v>
      </c>
      <c r="K54" s="14" t="s">
        <v>65</v>
      </c>
      <c r="L54" s="14" t="s">
        <v>65</v>
      </c>
      <c r="M54" s="14" t="s">
        <v>65</v>
      </c>
      <c r="N54" s="14" t="s">
        <v>65</v>
      </c>
      <c r="O54" s="14"/>
      <c r="P54" s="14"/>
      <c r="Q54" s="14" t="s">
        <v>65</v>
      </c>
      <c r="R54" s="14" t="s">
        <v>65</v>
      </c>
      <c r="S54" s="14" t="s">
        <v>65</v>
      </c>
      <c r="T54" s="14" t="s">
        <v>65</v>
      </c>
      <c r="U54" s="14" t="s">
        <v>65</v>
      </c>
      <c r="V54" s="14" t="s">
        <v>65</v>
      </c>
      <c r="W54" s="14" t="s">
        <v>65</v>
      </c>
      <c r="X54" s="14" t="s">
        <v>65</v>
      </c>
      <c r="Y54" s="14" t="s">
        <v>65</v>
      </c>
      <c r="Z54" s="14" t="s">
        <v>65</v>
      </c>
      <c r="AA54" s="14" t="s">
        <v>65</v>
      </c>
      <c r="AB54" s="14" t="s">
        <v>65</v>
      </c>
      <c r="AC54" s="14" t="s">
        <v>65</v>
      </c>
      <c r="AD54" s="14" t="s">
        <v>65</v>
      </c>
      <c r="AE54" s="14" t="s">
        <v>65</v>
      </c>
      <c r="AF54" s="14" t="s">
        <v>65</v>
      </c>
      <c r="AG54" s="14" t="s">
        <v>65</v>
      </c>
      <c r="AH54" s="14" t="s">
        <v>65</v>
      </c>
      <c r="AI54" s="14">
        <v>0</v>
      </c>
    </row>
    <row r="55" spans="1:35" x14ac:dyDescent="0.25">
      <c r="A55" s="24" t="s">
        <v>103</v>
      </c>
      <c r="B55" s="25" t="s">
        <v>69</v>
      </c>
      <c r="C55" s="25" t="s">
        <v>69</v>
      </c>
      <c r="D55" s="25" t="s">
        <v>69</v>
      </c>
      <c r="E55" s="25" t="s">
        <v>69</v>
      </c>
      <c r="F55" s="25" t="s">
        <v>69</v>
      </c>
      <c r="G55" s="25" t="s">
        <v>69</v>
      </c>
      <c r="H55" s="25" t="s">
        <v>69</v>
      </c>
      <c r="I55" s="25" t="s">
        <v>69</v>
      </c>
      <c r="J55" s="25" t="s">
        <v>69</v>
      </c>
      <c r="K55" s="25" t="s">
        <v>69</v>
      </c>
      <c r="L55" s="25" t="s">
        <v>69</v>
      </c>
      <c r="M55" s="25" t="s">
        <v>69</v>
      </c>
      <c r="N55" s="25" t="s">
        <v>69</v>
      </c>
      <c r="O55" s="25"/>
      <c r="P55" s="25"/>
      <c r="Q55" s="25" t="s">
        <v>69</v>
      </c>
      <c r="R55" s="25" t="s">
        <v>69</v>
      </c>
      <c r="S55" s="25" t="s">
        <v>69</v>
      </c>
      <c r="T55" s="25" t="s">
        <v>69</v>
      </c>
      <c r="U55" s="25" t="s">
        <v>69</v>
      </c>
      <c r="V55" s="25" t="s">
        <v>69</v>
      </c>
      <c r="W55" s="25" t="s">
        <v>69</v>
      </c>
      <c r="X55" s="25" t="s">
        <v>69</v>
      </c>
      <c r="Y55" s="25" t="s">
        <v>69</v>
      </c>
      <c r="Z55" s="25" t="s">
        <v>69</v>
      </c>
      <c r="AA55" s="25" t="s">
        <v>69</v>
      </c>
      <c r="AB55" s="25" t="s">
        <v>69</v>
      </c>
      <c r="AC55" s="25" t="s">
        <v>69</v>
      </c>
      <c r="AD55" s="25" t="s">
        <v>69</v>
      </c>
      <c r="AE55" s="25" t="s">
        <v>69</v>
      </c>
      <c r="AF55" s="25" t="s">
        <v>69</v>
      </c>
      <c r="AG55" s="25" t="s">
        <v>69</v>
      </c>
      <c r="AH55" s="25" t="s">
        <v>69</v>
      </c>
      <c r="AI55" s="25" t="s">
        <v>69</v>
      </c>
    </row>
    <row r="56" spans="1:35" x14ac:dyDescent="0.25">
      <c r="A56" s="24" t="s">
        <v>104</v>
      </c>
      <c r="B56" s="14">
        <v>1139.111049279122</v>
      </c>
      <c r="C56" s="14">
        <v>1139.111049279122</v>
      </c>
      <c r="D56" s="14">
        <v>1156.4880992801347</v>
      </c>
      <c r="E56" s="14">
        <v>966.48896677086088</v>
      </c>
      <c r="F56" s="14">
        <v>1524.9586576580768</v>
      </c>
      <c r="G56" s="14">
        <v>1322.6250515416364</v>
      </c>
      <c r="H56" s="14">
        <v>1536.7632439943122</v>
      </c>
      <c r="I56" s="14">
        <v>1572.5649432653161</v>
      </c>
      <c r="J56" s="14">
        <v>1773.8185287422889</v>
      </c>
      <c r="K56" s="14">
        <v>1834.6838352498637</v>
      </c>
      <c r="L56" s="14">
        <v>2124.2037920554626</v>
      </c>
      <c r="M56" s="14">
        <v>2312.9563838262916</v>
      </c>
      <c r="N56" s="14">
        <v>2726.6804003780967</v>
      </c>
      <c r="O56" s="14"/>
      <c r="P56" s="14"/>
      <c r="Q56" s="14">
        <v>2811.217260665765</v>
      </c>
      <c r="R56" s="14">
        <v>2841.4194235956747</v>
      </c>
      <c r="S56" s="14">
        <v>2654.309955719667</v>
      </c>
      <c r="T56" s="14">
        <v>2841.3724131665363</v>
      </c>
      <c r="U56" s="14">
        <v>3298.8845589401349</v>
      </c>
      <c r="V56" s="14">
        <v>3425.0133863132096</v>
      </c>
      <c r="W56" s="14">
        <v>3071.6278649806231</v>
      </c>
      <c r="X56" s="14">
        <v>2555.3693751269775</v>
      </c>
      <c r="Y56" s="14">
        <v>2760.3058303428888</v>
      </c>
      <c r="Z56" s="14">
        <v>2423.396652925464</v>
      </c>
      <c r="AA56" s="14">
        <v>2153.8581832088157</v>
      </c>
      <c r="AB56" s="14">
        <v>2477.8582085826165</v>
      </c>
      <c r="AC56" s="14">
        <v>2661.7243302829652</v>
      </c>
      <c r="AD56" s="14">
        <v>3034.6230826422538</v>
      </c>
      <c r="AE56" s="14">
        <v>3099.4966986081085</v>
      </c>
      <c r="AF56" s="14">
        <v>3547.4653267804897</v>
      </c>
      <c r="AG56" s="14">
        <v>3811.6397470245502</v>
      </c>
      <c r="AH56" s="14">
        <v>3789.2190283226696</v>
      </c>
      <c r="AI56" s="14">
        <v>232.647026005116</v>
      </c>
    </row>
    <row r="57" spans="1:35" x14ac:dyDescent="0.25">
      <c r="A57" s="26" t="s">
        <v>105</v>
      </c>
      <c r="B57" s="18">
        <v>1081.7486569564785</v>
      </c>
      <c r="C57" s="18">
        <v>1081.7486569564785</v>
      </c>
      <c r="D57" s="18">
        <v>1048.3477787190379</v>
      </c>
      <c r="E57" s="18">
        <v>912.46097947775854</v>
      </c>
      <c r="F57" s="18">
        <v>1352.576269778024</v>
      </c>
      <c r="G57" s="18">
        <v>1198.3609546696316</v>
      </c>
      <c r="H57" s="18">
        <v>1163.5492235038378</v>
      </c>
      <c r="I57" s="18">
        <v>1068.1649779190784</v>
      </c>
      <c r="J57" s="18">
        <v>1291.4942089794597</v>
      </c>
      <c r="K57" s="18">
        <v>1329.9464860040582</v>
      </c>
      <c r="L57" s="18">
        <v>1574.5560378688122</v>
      </c>
      <c r="M57" s="18">
        <v>1830.1259882141103</v>
      </c>
      <c r="N57" s="18">
        <v>2211.7289711064373</v>
      </c>
      <c r="O57" s="18"/>
      <c r="P57" s="18"/>
      <c r="Q57" s="18">
        <v>2351.4746623356964</v>
      </c>
      <c r="R57" s="18">
        <v>2295.5699773004717</v>
      </c>
      <c r="S57" s="18">
        <v>2175.1935220240412</v>
      </c>
      <c r="T57" s="18">
        <v>2507.6791084066622</v>
      </c>
      <c r="U57" s="18">
        <v>2890.3660796661334</v>
      </c>
      <c r="V57" s="18">
        <v>3064.3722390305006</v>
      </c>
      <c r="W57" s="18">
        <v>2848.501365594037</v>
      </c>
      <c r="X57" s="18">
        <v>2248.6008929987283</v>
      </c>
      <c r="Y57" s="18">
        <v>2325.5880965696365</v>
      </c>
      <c r="Z57" s="18">
        <v>2085.9784154845838</v>
      </c>
      <c r="AA57" s="18">
        <v>1752.5543477980932</v>
      </c>
      <c r="AB57" s="18">
        <v>2022.0736801444405</v>
      </c>
      <c r="AC57" s="18">
        <v>2242.2505887906013</v>
      </c>
      <c r="AD57" s="18">
        <v>2538.1195740979419</v>
      </c>
      <c r="AE57" s="19">
        <v>2603.0255707334654</v>
      </c>
      <c r="AF57" s="19">
        <v>3062.7227742846994</v>
      </c>
      <c r="AG57" s="19">
        <v>3307.0043621932209</v>
      </c>
      <c r="AH57" s="19">
        <v>3347.3334275459724</v>
      </c>
      <c r="AI57" s="18">
        <v>209.43726216067299</v>
      </c>
    </row>
    <row r="58" spans="1:35" x14ac:dyDescent="0.25">
      <c r="A58" s="26" t="s">
        <v>106</v>
      </c>
      <c r="B58" s="18">
        <v>57.362392322643601</v>
      </c>
      <c r="C58" s="18">
        <v>57.362392322643601</v>
      </c>
      <c r="D58" s="18">
        <v>108.1403205610968</v>
      </c>
      <c r="E58" s="18">
        <v>54.027987293102399</v>
      </c>
      <c r="F58" s="18">
        <v>172.38238788005282</v>
      </c>
      <c r="G58" s="18">
        <v>124.26409687200481</v>
      </c>
      <c r="H58" s="18">
        <v>373.21402049047441</v>
      </c>
      <c r="I58" s="18">
        <v>504.39996534623765</v>
      </c>
      <c r="J58" s="18">
        <v>482.32431976282919</v>
      </c>
      <c r="K58" s="18">
        <v>504.73734924580555</v>
      </c>
      <c r="L58" s="18">
        <v>549.64775418665033</v>
      </c>
      <c r="M58" s="18">
        <v>482.83039561218123</v>
      </c>
      <c r="N58" s="18">
        <v>514.95142927165932</v>
      </c>
      <c r="O58" s="18"/>
      <c r="P58" s="18"/>
      <c r="Q58" s="18">
        <v>459.7425983300688</v>
      </c>
      <c r="R58" s="18">
        <v>545.84944629520328</v>
      </c>
      <c r="S58" s="18">
        <v>479.11643369562603</v>
      </c>
      <c r="T58" s="18">
        <v>333.69330475987402</v>
      </c>
      <c r="U58" s="18">
        <v>408.51847927400161</v>
      </c>
      <c r="V58" s="18">
        <v>360.64114728270891</v>
      </c>
      <c r="W58" s="18">
        <v>223.12649938658612</v>
      </c>
      <c r="X58" s="18">
        <v>306.76848212824916</v>
      </c>
      <c r="Y58" s="18">
        <v>434.71773377325229</v>
      </c>
      <c r="Z58" s="18">
        <v>337.41823744087992</v>
      </c>
      <c r="AA58" s="18">
        <v>401.30383541072246</v>
      </c>
      <c r="AB58" s="18">
        <v>455.78452843817576</v>
      </c>
      <c r="AC58" s="18">
        <v>419.47374149236401</v>
      </c>
      <c r="AD58" s="18">
        <v>496.50350854431173</v>
      </c>
      <c r="AE58" s="19">
        <v>496.471127874643</v>
      </c>
      <c r="AF58" s="19">
        <v>484.74255249579039</v>
      </c>
      <c r="AG58" s="19">
        <v>504.63538483132942</v>
      </c>
      <c r="AH58" s="19">
        <v>441.88560077669757</v>
      </c>
      <c r="AI58" s="18">
        <v>670.34025758766097</v>
      </c>
    </row>
    <row r="59" spans="1:35" x14ac:dyDescent="0.25">
      <c r="A59" s="27" t="s">
        <v>107</v>
      </c>
      <c r="B59" s="18" t="s">
        <v>65</v>
      </c>
      <c r="C59" s="18" t="s">
        <v>65</v>
      </c>
      <c r="D59" s="18" t="s">
        <v>65</v>
      </c>
      <c r="E59" s="18" t="s">
        <v>65</v>
      </c>
      <c r="F59" s="18" t="s">
        <v>65</v>
      </c>
      <c r="G59" s="18" t="s">
        <v>65</v>
      </c>
      <c r="H59" s="18" t="s">
        <v>65</v>
      </c>
      <c r="I59" s="18" t="s">
        <v>65</v>
      </c>
      <c r="J59" s="18" t="s">
        <v>65</v>
      </c>
      <c r="K59" s="18" t="s">
        <v>65</v>
      </c>
      <c r="L59" s="18" t="s">
        <v>65</v>
      </c>
      <c r="M59" s="18" t="s">
        <v>65</v>
      </c>
      <c r="N59" s="18" t="s">
        <v>65</v>
      </c>
      <c r="O59" s="18"/>
      <c r="P59" s="18"/>
      <c r="Q59" s="18" t="s">
        <v>65</v>
      </c>
      <c r="R59" s="18" t="s">
        <v>65</v>
      </c>
      <c r="S59" s="18" t="s">
        <v>65</v>
      </c>
      <c r="T59" s="18" t="s">
        <v>65</v>
      </c>
      <c r="U59" s="18" t="s">
        <v>65</v>
      </c>
      <c r="V59" s="18" t="s">
        <v>65</v>
      </c>
      <c r="W59" s="18" t="s">
        <v>65</v>
      </c>
      <c r="X59" s="18" t="s">
        <v>65</v>
      </c>
      <c r="Y59" s="18" t="s">
        <v>65</v>
      </c>
      <c r="Z59" s="18" t="s">
        <v>65</v>
      </c>
      <c r="AA59" s="18" t="s">
        <v>65</v>
      </c>
      <c r="AB59" s="18" t="s">
        <v>65</v>
      </c>
      <c r="AC59" s="18" t="s">
        <v>65</v>
      </c>
      <c r="AD59" s="18" t="s">
        <v>65</v>
      </c>
      <c r="AE59" s="19" t="s">
        <v>65</v>
      </c>
      <c r="AF59" s="19" t="s">
        <v>65</v>
      </c>
      <c r="AG59" s="19" t="s">
        <v>65</v>
      </c>
      <c r="AH59" s="19" t="s">
        <v>65</v>
      </c>
      <c r="AI59" s="18">
        <v>0</v>
      </c>
    </row>
    <row r="60" spans="1:35" ht="13.5" x14ac:dyDescent="0.25">
      <c r="A60" s="24" t="s">
        <v>108</v>
      </c>
      <c r="B60" s="18">
        <v>500.81623446736006</v>
      </c>
      <c r="C60" s="18">
        <v>500.81623446736006</v>
      </c>
      <c r="D60" s="18">
        <v>479.5415601661241</v>
      </c>
      <c r="E60" s="18">
        <v>424.19216137916794</v>
      </c>
      <c r="F60" s="18">
        <v>429.19532585036796</v>
      </c>
      <c r="G60" s="18">
        <v>431.65749275750255</v>
      </c>
      <c r="H60" s="18">
        <v>424.65114598061791</v>
      </c>
      <c r="I60" s="18">
        <v>467.71403906204318</v>
      </c>
      <c r="J60" s="18">
        <v>493.25073962339485</v>
      </c>
      <c r="K60" s="18">
        <v>587.21785141110183</v>
      </c>
      <c r="L60" s="18">
        <v>557.21737707630268</v>
      </c>
      <c r="M60" s="18">
        <v>597.81958157125757</v>
      </c>
      <c r="N60" s="18">
        <v>654.24273906662916</v>
      </c>
      <c r="O60" s="18"/>
      <c r="P60" s="18"/>
      <c r="Q60" s="18">
        <v>643.32260756248718</v>
      </c>
      <c r="R60" s="18">
        <v>612.42267843451737</v>
      </c>
      <c r="S60" s="18">
        <v>715.32480321958292</v>
      </c>
      <c r="T60" s="18">
        <v>902.09990466538909</v>
      </c>
      <c r="U60" s="18">
        <v>930.38062379990538</v>
      </c>
      <c r="V60" s="18">
        <v>999.26875808436125</v>
      </c>
      <c r="W60" s="18">
        <v>1060.0373241018965</v>
      </c>
      <c r="X60" s="18">
        <v>1179.2389336875219</v>
      </c>
      <c r="Y60" s="18">
        <v>1310.9046759816013</v>
      </c>
      <c r="Z60" s="18">
        <v>1323.4415324760137</v>
      </c>
      <c r="AA60" s="18">
        <v>1405.4636662899075</v>
      </c>
      <c r="AB60" s="18">
        <v>1611.7164986409803</v>
      </c>
      <c r="AC60" s="18">
        <v>1865.5995002081297</v>
      </c>
      <c r="AD60" s="18">
        <v>1852.2661511600015</v>
      </c>
      <c r="AE60" s="19">
        <v>2051.3235497400956</v>
      </c>
      <c r="AF60" s="19">
        <v>2344.2658011691547</v>
      </c>
      <c r="AG60" s="19">
        <v>2613.811335062398</v>
      </c>
      <c r="AH60" s="19">
        <v>2652.2600255174793</v>
      </c>
      <c r="AI60" s="18">
        <v>429.58747001048698</v>
      </c>
    </row>
    <row r="61" spans="1:35" ht="13.5" x14ac:dyDescent="0.25">
      <c r="A61" s="27" t="s">
        <v>109</v>
      </c>
      <c r="B61" s="18" t="s">
        <v>65</v>
      </c>
      <c r="C61" s="18" t="s">
        <v>65</v>
      </c>
      <c r="D61" s="18" t="s">
        <v>65</v>
      </c>
      <c r="E61" s="18" t="s">
        <v>65</v>
      </c>
      <c r="F61" s="18" t="s">
        <v>65</v>
      </c>
      <c r="G61" s="18" t="s">
        <v>65</v>
      </c>
      <c r="H61" s="18" t="s">
        <v>65</v>
      </c>
      <c r="I61" s="18" t="s">
        <v>65</v>
      </c>
      <c r="J61" s="18" t="s">
        <v>65</v>
      </c>
      <c r="K61" s="18" t="s">
        <v>65</v>
      </c>
      <c r="L61" s="18" t="s">
        <v>65</v>
      </c>
      <c r="M61" s="18" t="s">
        <v>65</v>
      </c>
      <c r="N61" s="18" t="s">
        <v>65</v>
      </c>
      <c r="O61" s="18"/>
      <c r="P61" s="18"/>
      <c r="Q61" s="18" t="s">
        <v>65</v>
      </c>
      <c r="R61" s="18" t="s">
        <v>65</v>
      </c>
      <c r="S61" s="18" t="s">
        <v>65</v>
      </c>
      <c r="T61" s="18" t="s">
        <v>65</v>
      </c>
      <c r="U61" s="18" t="s">
        <v>65</v>
      </c>
      <c r="V61" s="18" t="s">
        <v>65</v>
      </c>
      <c r="W61" s="18" t="s">
        <v>65</v>
      </c>
      <c r="X61" s="18" t="s">
        <v>65</v>
      </c>
      <c r="Y61" s="18" t="s">
        <v>65</v>
      </c>
      <c r="Z61" s="18" t="s">
        <v>65</v>
      </c>
      <c r="AA61" s="18" t="s">
        <v>65</v>
      </c>
      <c r="AB61" s="18" t="s">
        <v>65</v>
      </c>
      <c r="AC61" s="18" t="s">
        <v>65</v>
      </c>
      <c r="AD61" s="18" t="s">
        <v>65</v>
      </c>
      <c r="AE61" s="19" t="s">
        <v>65</v>
      </c>
      <c r="AF61" s="19" t="s">
        <v>65</v>
      </c>
      <c r="AG61" s="19" t="s">
        <v>65</v>
      </c>
      <c r="AH61" s="19" t="s">
        <v>65</v>
      </c>
      <c r="AI61" s="18">
        <v>0</v>
      </c>
    </row>
    <row r="62" spans="1:35" x14ac:dyDescent="0.25">
      <c r="A62" s="27" t="s">
        <v>110</v>
      </c>
      <c r="B62" s="18" t="s">
        <v>111</v>
      </c>
      <c r="C62" s="18" t="s">
        <v>111</v>
      </c>
      <c r="D62" s="18" t="s">
        <v>111</v>
      </c>
      <c r="E62" s="18" t="s">
        <v>111</v>
      </c>
      <c r="F62" s="18" t="s">
        <v>111</v>
      </c>
      <c r="G62" s="18" t="s">
        <v>111</v>
      </c>
      <c r="H62" s="18" t="s">
        <v>111</v>
      </c>
      <c r="I62" s="18" t="s">
        <v>111</v>
      </c>
      <c r="J62" s="18" t="s">
        <v>111</v>
      </c>
      <c r="K62" s="18" t="s">
        <v>111</v>
      </c>
      <c r="L62" s="18" t="s">
        <v>111</v>
      </c>
      <c r="M62" s="18" t="s">
        <v>111</v>
      </c>
      <c r="N62" s="18" t="s">
        <v>111</v>
      </c>
      <c r="O62" s="18"/>
      <c r="P62" s="18"/>
      <c r="Q62" s="18" t="s">
        <v>111</v>
      </c>
      <c r="R62" s="18" t="s">
        <v>111</v>
      </c>
      <c r="S62" s="18" t="s">
        <v>111</v>
      </c>
      <c r="T62" s="18" t="s">
        <v>111</v>
      </c>
      <c r="U62" s="18" t="s">
        <v>111</v>
      </c>
      <c r="V62" s="18" t="s">
        <v>111</v>
      </c>
      <c r="W62" s="18" t="s">
        <v>111</v>
      </c>
      <c r="X62" s="18" t="s">
        <v>111</v>
      </c>
      <c r="Y62" s="18" t="s">
        <v>111</v>
      </c>
      <c r="Z62" s="18" t="s">
        <v>111</v>
      </c>
      <c r="AA62" s="18" t="s">
        <v>111</v>
      </c>
      <c r="AB62" s="18" t="s">
        <v>111</v>
      </c>
      <c r="AC62" s="18" t="s">
        <v>111</v>
      </c>
      <c r="AD62" s="18" t="s">
        <v>111</v>
      </c>
      <c r="AE62" s="19" t="s">
        <v>111</v>
      </c>
      <c r="AF62" s="19" t="s">
        <v>111</v>
      </c>
      <c r="AG62" s="19" t="s">
        <v>111</v>
      </c>
      <c r="AH62" s="19" t="s">
        <v>111</v>
      </c>
      <c r="AI62" s="18">
        <v>0</v>
      </c>
    </row>
    <row r="63" spans="1:35" ht="13.5" x14ac:dyDescent="0.25">
      <c r="A63" s="27" t="s">
        <v>112</v>
      </c>
      <c r="B63" s="18" t="s">
        <v>113</v>
      </c>
      <c r="C63" s="18" t="s">
        <v>113</v>
      </c>
      <c r="D63" s="18" t="s">
        <v>113</v>
      </c>
      <c r="E63" s="18" t="s">
        <v>113</v>
      </c>
      <c r="F63" s="18" t="s">
        <v>113</v>
      </c>
      <c r="G63" s="18" t="s">
        <v>113</v>
      </c>
      <c r="H63" s="18" t="s">
        <v>113</v>
      </c>
      <c r="I63" s="18" t="s">
        <v>113</v>
      </c>
      <c r="J63" s="18" t="s">
        <v>113</v>
      </c>
      <c r="K63" s="18" t="s">
        <v>113</v>
      </c>
      <c r="L63" s="18" t="s">
        <v>113</v>
      </c>
      <c r="M63" s="18" t="s">
        <v>113</v>
      </c>
      <c r="N63" s="18" t="s">
        <v>113</v>
      </c>
      <c r="O63" s="18"/>
      <c r="P63" s="18"/>
      <c r="Q63" s="18" t="s">
        <v>113</v>
      </c>
      <c r="R63" s="18" t="s">
        <v>113</v>
      </c>
      <c r="S63" s="18" t="s">
        <v>113</v>
      </c>
      <c r="T63" s="18" t="s">
        <v>113</v>
      </c>
      <c r="U63" s="18" t="s">
        <v>113</v>
      </c>
      <c r="V63" s="18" t="s">
        <v>113</v>
      </c>
      <c r="W63" s="18" t="s">
        <v>113</v>
      </c>
      <c r="X63" s="18" t="s">
        <v>113</v>
      </c>
      <c r="Y63" s="18" t="s">
        <v>113</v>
      </c>
      <c r="Z63" s="18" t="s">
        <v>113</v>
      </c>
      <c r="AA63" s="18" t="s">
        <v>113</v>
      </c>
      <c r="AB63" s="18" t="s">
        <v>113</v>
      </c>
      <c r="AC63" s="18" t="s">
        <v>113</v>
      </c>
      <c r="AD63" s="18" t="s">
        <v>114</v>
      </c>
      <c r="AE63" s="19" t="s">
        <v>113</v>
      </c>
      <c r="AF63" s="19" t="s">
        <v>113</v>
      </c>
      <c r="AG63" s="19" t="s">
        <v>113</v>
      </c>
      <c r="AH63" s="19" t="s">
        <v>113</v>
      </c>
      <c r="AI63" s="18">
        <v>0</v>
      </c>
    </row>
    <row r="64" spans="1:35" ht="14" x14ac:dyDescent="0.25">
      <c r="A64" s="27" t="s">
        <v>115</v>
      </c>
      <c r="B64" s="18" t="s">
        <v>116</v>
      </c>
      <c r="C64" s="18" t="s">
        <v>116</v>
      </c>
      <c r="D64" s="18" t="s">
        <v>116</v>
      </c>
      <c r="E64" s="18" t="s">
        <v>116</v>
      </c>
      <c r="F64" s="18" t="s">
        <v>116</v>
      </c>
      <c r="G64" s="18" t="s">
        <v>116</v>
      </c>
      <c r="H64" s="18" t="s">
        <v>116</v>
      </c>
      <c r="I64" s="18" t="s">
        <v>116</v>
      </c>
      <c r="J64" s="18" t="s">
        <v>116</v>
      </c>
      <c r="K64" s="18" t="s">
        <v>116</v>
      </c>
      <c r="L64" s="18" t="s">
        <v>116</v>
      </c>
      <c r="M64" s="18" t="s">
        <v>116</v>
      </c>
      <c r="N64" s="18" t="s">
        <v>116</v>
      </c>
      <c r="O64" s="18"/>
      <c r="P64" s="18"/>
      <c r="Q64" s="18" t="s">
        <v>116</v>
      </c>
      <c r="R64" s="18" t="s">
        <v>116</v>
      </c>
      <c r="S64" s="18" t="s">
        <v>116</v>
      </c>
      <c r="T64" s="18" t="s">
        <v>116</v>
      </c>
      <c r="U64" s="18" t="s">
        <v>116</v>
      </c>
      <c r="V64" s="18" t="s">
        <v>116</v>
      </c>
      <c r="W64" s="18" t="s">
        <v>116</v>
      </c>
      <c r="X64" s="18" t="s">
        <v>116</v>
      </c>
      <c r="Y64" s="18" t="s">
        <v>116</v>
      </c>
      <c r="Z64" s="18" t="s">
        <v>116</v>
      </c>
      <c r="AA64" s="18" t="s">
        <v>116</v>
      </c>
      <c r="AB64" s="18" t="s">
        <v>116</v>
      </c>
      <c r="AC64" s="18" t="s">
        <v>116</v>
      </c>
      <c r="AD64" s="18" t="s">
        <v>116</v>
      </c>
      <c r="AE64" s="19" t="s">
        <v>116</v>
      </c>
      <c r="AF64" s="19" t="s">
        <v>116</v>
      </c>
      <c r="AG64" s="19" t="s">
        <v>116</v>
      </c>
      <c r="AH64" s="19" t="s">
        <v>116</v>
      </c>
      <c r="AI64" s="18">
        <v>0</v>
      </c>
    </row>
    <row r="65" spans="1:39" ht="13.5" customHeight="1" x14ac:dyDescent="0.25">
      <c r="A65" s="28" t="s">
        <v>117</v>
      </c>
      <c r="B65" s="14">
        <v>54400.316245699461</v>
      </c>
      <c r="C65" s="14">
        <v>54400.316245699461</v>
      </c>
      <c r="D65" s="14">
        <v>55210.265592130592</v>
      </c>
      <c r="E65" s="14">
        <v>55196.530786992247</v>
      </c>
      <c r="F65" s="14">
        <v>55739.946238457887</v>
      </c>
      <c r="G65" s="14">
        <v>57215.058323179546</v>
      </c>
      <c r="H65" s="14">
        <v>58740.880181112101</v>
      </c>
      <c r="I65" s="14">
        <v>60904.76793040245</v>
      </c>
      <c r="J65" s="14">
        <v>62361.153282519866</v>
      </c>
      <c r="K65" s="14">
        <v>64942.465017423739</v>
      </c>
      <c r="L65" s="14">
        <v>66202.867533274693</v>
      </c>
      <c r="M65" s="14">
        <v>68458.709869933446</v>
      </c>
      <c r="N65" s="14">
        <v>70487.204969431099</v>
      </c>
      <c r="O65" s="14"/>
      <c r="P65" s="14"/>
      <c r="Q65" s="14">
        <v>68623.045834288307</v>
      </c>
      <c r="R65" s="14">
        <v>69032.773587911608</v>
      </c>
      <c r="S65" s="14">
        <v>68384.547225866627</v>
      </c>
      <c r="T65" s="14">
        <v>70264.340311238309</v>
      </c>
      <c r="U65" s="14">
        <v>69620.58404320298</v>
      </c>
      <c r="V65" s="14">
        <v>68591.568233994694</v>
      </c>
      <c r="W65" s="14">
        <v>68131.457173070143</v>
      </c>
      <c r="X65" s="14">
        <v>62356.374429898169</v>
      </c>
      <c r="Y65" s="14">
        <v>61949.414292341236</v>
      </c>
      <c r="Z65" s="14">
        <v>57793.583599187798</v>
      </c>
      <c r="AA65" s="14">
        <v>58785.13615080918</v>
      </c>
      <c r="AB65" s="14">
        <v>58570.583263981345</v>
      </c>
      <c r="AC65" s="14">
        <v>58062.567760655547</v>
      </c>
      <c r="AD65" s="14">
        <v>60431.953041355788</v>
      </c>
      <c r="AE65" s="14">
        <v>62475.137332477178</v>
      </c>
      <c r="AF65" s="14">
        <v>62114.860882018344</v>
      </c>
      <c r="AG65" s="14">
        <v>62526.013969678192</v>
      </c>
      <c r="AH65" s="14">
        <v>59777.639617216053</v>
      </c>
      <c r="AI65" s="14">
        <v>9.8847281461190004</v>
      </c>
      <c r="AL65" s="57">
        <f>MAX(B65:AH65)</f>
        <v>70487.204969431099</v>
      </c>
      <c r="AM65" s="7">
        <f>AH65/AL65</f>
        <v>0.84806369671120352</v>
      </c>
    </row>
    <row r="66" spans="1:39" ht="13.5" x14ac:dyDescent="0.25">
      <c r="A66" s="28" t="s">
        <v>118</v>
      </c>
      <c r="B66" s="14">
        <v>59531.399447095057</v>
      </c>
      <c r="C66" s="14">
        <v>59531.399447095057</v>
      </c>
      <c r="D66" s="14">
        <v>60185.148553503874</v>
      </c>
      <c r="E66" s="14">
        <v>59886.679157454462</v>
      </c>
      <c r="F66" s="14">
        <v>60342.600017744255</v>
      </c>
      <c r="G66" s="14">
        <v>61923.850459232621</v>
      </c>
      <c r="H66" s="14">
        <v>64431.413620525171</v>
      </c>
      <c r="I66" s="14">
        <v>66196.016708350144</v>
      </c>
      <c r="J66" s="14">
        <v>66958.620036340653</v>
      </c>
      <c r="K66" s="14">
        <v>69312.521578645537</v>
      </c>
      <c r="L66" s="14">
        <v>70689.539628897022</v>
      </c>
      <c r="M66" s="14">
        <v>74343.379476062983</v>
      </c>
      <c r="N66" s="14">
        <v>77683.205512489047</v>
      </c>
      <c r="O66" s="14"/>
      <c r="P66" s="14"/>
      <c r="Q66" s="14">
        <v>75457.886042333281</v>
      </c>
      <c r="R66" s="14">
        <v>76166.042369249437</v>
      </c>
      <c r="S66" s="14">
        <v>73855.218863784845</v>
      </c>
      <c r="T66" s="14">
        <v>76248.521422779973</v>
      </c>
      <c r="U66" s="14">
        <v>76031.092565587387</v>
      </c>
      <c r="V66" s="14">
        <v>74214.520904695426</v>
      </c>
      <c r="W66" s="14">
        <v>72976.965725298927</v>
      </c>
      <c r="X66" s="14">
        <v>66926.966812323357</v>
      </c>
      <c r="Y66" s="14">
        <v>68191.858870432858</v>
      </c>
      <c r="Z66" s="14">
        <v>63279.047530669086</v>
      </c>
      <c r="AA66" s="14">
        <v>63238.000374156785</v>
      </c>
      <c r="AB66" s="14">
        <v>63144.63786675853</v>
      </c>
      <c r="AC66" s="14">
        <v>63999.34806238184</v>
      </c>
      <c r="AD66" s="14">
        <v>66010.229193706022</v>
      </c>
      <c r="AE66" s="14">
        <v>67459.168937060633</v>
      </c>
      <c r="AF66" s="14">
        <v>68600.543840170969</v>
      </c>
      <c r="AG66" s="14">
        <v>67312.041310940345</v>
      </c>
      <c r="AH66" s="14">
        <v>64220.259223526271</v>
      </c>
      <c r="AI66" s="14">
        <v>7.8762801143249996</v>
      </c>
      <c r="AL66" s="57">
        <f>MAX(B66:AH66)</f>
        <v>77683.205512489047</v>
      </c>
      <c r="AM66" s="7">
        <f>AH66/AL66</f>
        <v>0.82669424877429454</v>
      </c>
    </row>
    <row r="67" spans="1:39" ht="12.75" customHeight="1" x14ac:dyDescent="0.25">
      <c r="A67" s="28" t="s">
        <v>119</v>
      </c>
      <c r="B67" s="14" t="s">
        <v>120</v>
      </c>
      <c r="C67" s="14" t="s">
        <v>120</v>
      </c>
      <c r="D67" s="14" t="s">
        <v>120</v>
      </c>
      <c r="E67" s="14" t="s">
        <v>120</v>
      </c>
      <c r="F67" s="14" t="s">
        <v>120</v>
      </c>
      <c r="G67" s="14" t="s">
        <v>120</v>
      </c>
      <c r="H67" s="14" t="s">
        <v>120</v>
      </c>
      <c r="I67" s="14" t="s">
        <v>120</v>
      </c>
      <c r="J67" s="14" t="s">
        <v>120</v>
      </c>
      <c r="K67" s="14" t="s">
        <v>120</v>
      </c>
      <c r="L67" s="14" t="s">
        <v>120</v>
      </c>
      <c r="M67" s="14" t="s">
        <v>120</v>
      </c>
      <c r="N67" s="14" t="s">
        <v>120</v>
      </c>
      <c r="O67" s="14"/>
      <c r="P67" s="14"/>
      <c r="Q67" s="14" t="s">
        <v>120</v>
      </c>
      <c r="R67" s="14" t="s">
        <v>120</v>
      </c>
      <c r="S67" s="14" t="s">
        <v>120</v>
      </c>
      <c r="T67" s="14" t="s">
        <v>120</v>
      </c>
      <c r="U67" s="14" t="s">
        <v>120</v>
      </c>
      <c r="V67" s="14" t="s">
        <v>120</v>
      </c>
      <c r="W67" s="14" t="s">
        <v>120</v>
      </c>
      <c r="X67" s="14" t="s">
        <v>120</v>
      </c>
      <c r="Y67" s="14" t="s">
        <v>120</v>
      </c>
      <c r="Z67" s="14" t="s">
        <v>120</v>
      </c>
      <c r="AA67" s="14" t="s">
        <v>120</v>
      </c>
      <c r="AB67" s="14" t="s">
        <v>120</v>
      </c>
      <c r="AC67" s="14" t="s">
        <v>120</v>
      </c>
      <c r="AD67" s="14" t="s">
        <v>120</v>
      </c>
      <c r="AE67" s="14" t="s">
        <v>120</v>
      </c>
      <c r="AF67" s="14" t="s">
        <v>120</v>
      </c>
      <c r="AG67" s="14" t="s">
        <v>120</v>
      </c>
      <c r="AH67" s="14" t="s">
        <v>120</v>
      </c>
      <c r="AI67" s="14">
        <v>0</v>
      </c>
    </row>
    <row r="68" spans="1:39" ht="13.5" x14ac:dyDescent="0.25">
      <c r="A68" s="28" t="s">
        <v>121</v>
      </c>
      <c r="B68" s="14" t="s">
        <v>120</v>
      </c>
      <c r="C68" s="14" t="s">
        <v>120</v>
      </c>
      <c r="D68" s="14" t="s">
        <v>120</v>
      </c>
      <c r="E68" s="14" t="s">
        <v>120</v>
      </c>
      <c r="F68" s="14" t="s">
        <v>120</v>
      </c>
      <c r="G68" s="14" t="s">
        <v>120</v>
      </c>
      <c r="H68" s="14" t="s">
        <v>120</v>
      </c>
      <c r="I68" s="14" t="s">
        <v>120</v>
      </c>
      <c r="J68" s="14" t="s">
        <v>120</v>
      </c>
      <c r="K68" s="14" t="s">
        <v>120</v>
      </c>
      <c r="L68" s="14" t="s">
        <v>120</v>
      </c>
      <c r="M68" s="14" t="s">
        <v>120</v>
      </c>
      <c r="N68" s="14" t="s">
        <v>120</v>
      </c>
      <c r="O68" s="14"/>
      <c r="P68" s="14"/>
      <c r="Q68" s="14" t="s">
        <v>120</v>
      </c>
      <c r="R68" s="14" t="s">
        <v>120</v>
      </c>
      <c r="S68" s="14" t="s">
        <v>120</v>
      </c>
      <c r="T68" s="14" t="s">
        <v>120</v>
      </c>
      <c r="U68" s="14" t="s">
        <v>120</v>
      </c>
      <c r="V68" s="14" t="s">
        <v>120</v>
      </c>
      <c r="W68" s="14" t="s">
        <v>120</v>
      </c>
      <c r="X68" s="14" t="s">
        <v>120</v>
      </c>
      <c r="Y68" s="14" t="s">
        <v>120</v>
      </c>
      <c r="Z68" s="14" t="s">
        <v>120</v>
      </c>
      <c r="AA68" s="14" t="s">
        <v>120</v>
      </c>
      <c r="AB68" s="14" t="s">
        <v>120</v>
      </c>
      <c r="AC68" s="14" t="s">
        <v>120</v>
      </c>
      <c r="AD68" s="14" t="s">
        <v>120</v>
      </c>
      <c r="AE68" s="14" t="s">
        <v>120</v>
      </c>
      <c r="AF68" s="14" t="s">
        <v>120</v>
      </c>
      <c r="AG68" s="14" t="s">
        <v>120</v>
      </c>
      <c r="AH68" s="14" t="s">
        <v>120</v>
      </c>
      <c r="AI68" s="14">
        <v>0</v>
      </c>
    </row>
    <row r="69" spans="1:39" x14ac:dyDescent="0.25">
      <c r="A69" s="5"/>
      <c r="B69" s="5"/>
      <c r="C69" s="5" t="s">
        <v>122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9" x14ac:dyDescent="0.25">
      <c r="A70" s="215" t="s">
        <v>123</v>
      </c>
      <c r="B70" s="2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4" spans="1:39" x14ac:dyDescent="0.25">
      <c r="A74" s="7" t="s">
        <v>200</v>
      </c>
      <c r="B74" s="56" t="str">
        <f>B5</f>
        <v>Base year(1)</v>
      </c>
      <c r="C74" s="56" t="str">
        <f t="shared" ref="C74:AH74" si="0">C5</f>
        <v>1990</v>
      </c>
      <c r="D74" s="56" t="str">
        <f t="shared" si="0"/>
        <v>1991</v>
      </c>
      <c r="E74" s="56" t="str">
        <f t="shared" si="0"/>
        <v>1992</v>
      </c>
      <c r="F74" s="56" t="str">
        <f t="shared" si="0"/>
        <v>1993</v>
      </c>
      <c r="G74" s="56" t="str">
        <f t="shared" si="0"/>
        <v>1994</v>
      </c>
      <c r="H74" s="56" t="str">
        <f t="shared" si="0"/>
        <v>1995</v>
      </c>
      <c r="I74" s="56" t="str">
        <f t="shared" si="0"/>
        <v>1996</v>
      </c>
      <c r="J74" s="56" t="str">
        <f t="shared" si="0"/>
        <v>1997</v>
      </c>
      <c r="K74" s="56" t="str">
        <f t="shared" si="0"/>
        <v>1998</v>
      </c>
      <c r="L74" s="56" t="str">
        <f t="shared" si="0"/>
        <v>1999</v>
      </c>
      <c r="M74" s="56" t="str">
        <f t="shared" si="0"/>
        <v>2000</v>
      </c>
      <c r="N74" s="56" t="str">
        <f t="shared" si="0"/>
        <v>2001</v>
      </c>
      <c r="O74" s="56"/>
      <c r="P74" s="56"/>
      <c r="Q74" s="56" t="str">
        <f t="shared" si="0"/>
        <v>2002</v>
      </c>
      <c r="R74" s="56" t="str">
        <f t="shared" si="0"/>
        <v>2003</v>
      </c>
      <c r="S74" s="56" t="str">
        <f t="shared" si="0"/>
        <v>2004</v>
      </c>
      <c r="T74" s="56" t="str">
        <f t="shared" si="0"/>
        <v>2005</v>
      </c>
      <c r="U74" s="56" t="str">
        <f t="shared" si="0"/>
        <v>2006</v>
      </c>
      <c r="V74" s="56" t="str">
        <f t="shared" si="0"/>
        <v>2007</v>
      </c>
      <c r="W74" s="56" t="str">
        <f t="shared" si="0"/>
        <v>2008</v>
      </c>
      <c r="X74" s="56" t="str">
        <f t="shared" si="0"/>
        <v>2009</v>
      </c>
      <c r="Y74" s="56" t="str">
        <f t="shared" si="0"/>
        <v>2010</v>
      </c>
      <c r="Z74" s="56" t="str">
        <f t="shared" si="0"/>
        <v>2011</v>
      </c>
      <c r="AA74" s="56" t="str">
        <f t="shared" si="0"/>
        <v>2012</v>
      </c>
      <c r="AB74" s="56" t="str">
        <f t="shared" si="0"/>
        <v>2013</v>
      </c>
      <c r="AC74" s="56" t="str">
        <f t="shared" si="0"/>
        <v>2014</v>
      </c>
      <c r="AD74" s="56" t="str">
        <f t="shared" si="0"/>
        <v>2015</v>
      </c>
      <c r="AE74" s="56" t="str">
        <f t="shared" si="0"/>
        <v>2016</v>
      </c>
      <c r="AF74" s="56" t="str">
        <f t="shared" si="0"/>
        <v>2017</v>
      </c>
      <c r="AG74" s="56" t="str">
        <f t="shared" si="0"/>
        <v>2018</v>
      </c>
      <c r="AH74" s="56" t="str">
        <f t="shared" si="0"/>
        <v>2019</v>
      </c>
    </row>
    <row r="75" spans="1:39" x14ac:dyDescent="0.25">
      <c r="A75" s="57" t="str">
        <f>'CO2 1990-2019'!B74</f>
        <v>Total CO2 equivalent emissions without land use, land-use change and forestry</v>
      </c>
      <c r="B75" s="62">
        <f>'CO2 1990-2019'!C74</f>
        <v>32943.60363844176</v>
      </c>
      <c r="C75" s="62">
        <f>'CO2 1990-2019'!D74</f>
        <v>32943.60363844176</v>
      </c>
      <c r="D75" s="62">
        <f>'CO2 1990-2019'!E74</f>
        <v>33673.49439639716</v>
      </c>
      <c r="E75" s="62">
        <f>'CO2 1990-2019'!F74</f>
        <v>33494.498394831789</v>
      </c>
      <c r="F75" s="62">
        <f>'CO2 1990-2019'!G74</f>
        <v>33715.571485648332</v>
      </c>
      <c r="G75" s="62">
        <f>'CO2 1990-2019'!H74</f>
        <v>34837.654227246712</v>
      </c>
      <c r="H75" s="62">
        <f>'CO2 1990-2019'!I74</f>
        <v>35852.202662148069</v>
      </c>
      <c r="I75" s="62">
        <f>'CO2 1990-2019'!J74</f>
        <v>37468.512713817669</v>
      </c>
      <c r="J75" s="62">
        <f>'CO2 1990-2019'!K74</f>
        <v>38804.278996628193</v>
      </c>
      <c r="K75" s="62">
        <f>'CO2 1990-2019'!L74</f>
        <v>40708.288352058022</v>
      </c>
      <c r="L75" s="62">
        <f>'CO2 1990-2019'!M74</f>
        <v>42439.518319338997</v>
      </c>
      <c r="M75" s="62">
        <f>'CO2 1990-2019'!N74</f>
        <v>45248.508622670597</v>
      </c>
      <c r="N75" s="62">
        <f>'CO2 1990-2019'!O74</f>
        <v>47606.827382126554</v>
      </c>
      <c r="O75" s="62"/>
      <c r="P75" s="62"/>
      <c r="Q75" s="62">
        <f>'CO2 1990-2019'!P74</f>
        <v>46080.800401874891</v>
      </c>
      <c r="R75" s="62">
        <f>'CO2 1990-2019'!Q74</f>
        <v>45683.184848822799</v>
      </c>
      <c r="S75" s="62">
        <f>'CO2 1990-2019'!R74</f>
        <v>46165.841122470752</v>
      </c>
      <c r="T75" s="62">
        <f>'CO2 1990-2019'!S74</f>
        <v>48155.797022874547</v>
      </c>
      <c r="U75" s="62">
        <f>'CO2 1990-2019'!T74</f>
        <v>47603.978825432525</v>
      </c>
      <c r="V75" s="62">
        <f>'CO2 1990-2019'!U74</f>
        <v>47663.726602156494</v>
      </c>
      <c r="W75" s="62">
        <f>'CO2 1990-2019'!V74</f>
        <v>47366.673677499894</v>
      </c>
      <c r="X75" s="62">
        <f>'CO2 1990-2019'!W74</f>
        <v>42180.319124497575</v>
      </c>
      <c r="Y75" s="62">
        <f>'CO2 1990-2019'!X74</f>
        <v>41793.914554776813</v>
      </c>
      <c r="Z75" s="62">
        <f>'CO2 1990-2019'!Y74</f>
        <v>38097.298624554125</v>
      </c>
      <c r="AA75" s="62">
        <f>'CO2 1990-2019'!Z74</f>
        <v>38241.974900988564</v>
      </c>
      <c r="AB75" s="62">
        <f>'CO2 1990-2019'!AA74</f>
        <v>37291.76322414622</v>
      </c>
      <c r="AC75" s="62">
        <f>'CO2 1990-2019'!AB74</f>
        <v>36909.012023474788</v>
      </c>
      <c r="AD75" s="62">
        <f>'CO2 1990-2019'!AC74</f>
        <v>38687.772214867851</v>
      </c>
      <c r="AE75" s="62">
        <f>'CO2 1990-2019'!AD74</f>
        <v>40155.799101114433</v>
      </c>
      <c r="AF75" s="62">
        <f>'CO2 1990-2019'!AE74</f>
        <v>39133.421109227143</v>
      </c>
      <c r="AG75" s="62">
        <f>'CO2 1990-2019'!AF74</f>
        <v>39195.154828332859</v>
      </c>
      <c r="AH75" s="62">
        <f>'CO2 1990-2019'!AG74</f>
        <v>37275.318574990517</v>
      </c>
    </row>
    <row r="76" spans="1:39" x14ac:dyDescent="0.25">
      <c r="A76" s="7" t="str">
        <f>'CH4 1990-2019'!A73</f>
        <v>Total CH4 excl LULUCF (Mt CO2eq)</v>
      </c>
      <c r="B76" s="62">
        <f>'CH4 1990-2019'!B73</f>
        <v>13752.057718874048</v>
      </c>
      <c r="C76" s="62">
        <f>'CH4 1990-2019'!C73</f>
        <v>13752.057718874048</v>
      </c>
      <c r="D76" s="62">
        <f>'CH4 1990-2019'!D73</f>
        <v>14041.692369937266</v>
      </c>
      <c r="E76" s="62">
        <f>'CH4 1990-2019'!E73</f>
        <v>14256.741742919332</v>
      </c>
      <c r="F76" s="62">
        <f>'CH4 1990-2019'!F73</f>
        <v>14404.033378668544</v>
      </c>
      <c r="G76" s="62">
        <f>'CH4 1990-2019'!G73</f>
        <v>14436.649964540236</v>
      </c>
      <c r="H76" s="62">
        <f>'CH4 1990-2019'!H73</f>
        <v>14556.677542459078</v>
      </c>
      <c r="I76" s="62">
        <f>'CH4 1990-2019'!I73</f>
        <v>14880.57315091921</v>
      </c>
      <c r="J76" s="62">
        <f>'CH4 1990-2019'!J73</f>
        <v>14958.565825239515</v>
      </c>
      <c r="K76" s="62">
        <f>'CH4 1990-2019'!K73</f>
        <v>15282.883343981439</v>
      </c>
      <c r="L76" s="62">
        <f>'CH4 1990-2019'!L73</f>
        <v>14879.676844726055</v>
      </c>
      <c r="M76" s="62">
        <f>'CH4 1990-2019'!M73</f>
        <v>14386.905128417684</v>
      </c>
      <c r="N76" s="62">
        <f>'CH4 1990-2019'!N73</f>
        <v>14519.856949107336</v>
      </c>
      <c r="O76" s="62"/>
      <c r="P76" s="62"/>
      <c r="Q76" s="62">
        <f>'CH4 1990-2019'!O73</f>
        <v>14521.197956810709</v>
      </c>
      <c r="R76" s="62">
        <f>'CH4 1990-2019'!P73</f>
        <v>15212.324612582384</v>
      </c>
      <c r="S76" s="62">
        <f>'CH4 1990-2019'!Q73</f>
        <v>14202.810102499521</v>
      </c>
      <c r="T76" s="62">
        <f>'CH4 1990-2019'!R73</f>
        <v>14019.729982642415</v>
      </c>
      <c r="U76" s="62">
        <f>'CH4 1990-2019'!S73</f>
        <v>14156.171514896667</v>
      </c>
      <c r="V76" s="62">
        <f>'CH4 1990-2019'!T73</f>
        <v>13320.540053673327</v>
      </c>
      <c r="W76" s="62">
        <f>'CH4 1990-2019'!U73</f>
        <v>13190.71168903676</v>
      </c>
      <c r="X76" s="62">
        <f>'CH4 1990-2019'!V73</f>
        <v>12827.1297740719</v>
      </c>
      <c r="Y76" s="62">
        <f>'CH4 1990-2019'!W73</f>
        <v>12576.664172085866</v>
      </c>
      <c r="Z76" s="62">
        <f>'CH4 1990-2019'!X73</f>
        <v>12523.848753308066</v>
      </c>
      <c r="AA76" s="62">
        <f>'CH4 1990-2019'!Y73</f>
        <v>13155.769311644355</v>
      </c>
      <c r="AB76" s="62">
        <f>'CH4 1990-2019'!Z73</f>
        <v>13439.119661199331</v>
      </c>
      <c r="AC76" s="62">
        <f>'CH4 1990-2019'!AA73</f>
        <v>13511.976489026483</v>
      </c>
      <c r="AD76" s="62">
        <f>'CH4 1990-2019'!AB73</f>
        <v>14037.594447540434</v>
      </c>
      <c r="AE76" s="62">
        <f>'CH4 1990-2019'!AC73</f>
        <v>14423.092365672019</v>
      </c>
      <c r="AF76" s="62">
        <f>'CH4 1990-2019'!AD73</f>
        <v>14825.510700045103</v>
      </c>
      <c r="AG76" s="62">
        <f>'CH4 1990-2019'!AE73</f>
        <v>15139.336194748996</v>
      </c>
      <c r="AH76" s="62">
        <f>'CH4 1990-2019'!AF73</f>
        <v>14730.522906038146</v>
      </c>
    </row>
    <row r="77" spans="1:39" x14ac:dyDescent="0.25">
      <c r="A77" s="7" t="s">
        <v>4</v>
      </c>
      <c r="B77" s="62">
        <f>'N2O 1990-2019'!B73</f>
        <v>7670.0637765125102</v>
      </c>
      <c r="C77" s="62">
        <f>'N2O 1990-2019'!C73</f>
        <v>7670.0637765125102</v>
      </c>
      <c r="D77" s="62">
        <f>'N2O 1990-2019'!D73</f>
        <v>7445.5783283438132</v>
      </c>
      <c r="E77" s="62">
        <f>'N2O 1990-2019'!E73</f>
        <v>7380.8809517931813</v>
      </c>
      <c r="F77" s="62">
        <f>'N2O 1990-2019'!F73</f>
        <v>7513.9161969592351</v>
      </c>
      <c r="G77" s="62">
        <f>'N2O 1990-2019'!G73</f>
        <v>7791.202981745877</v>
      </c>
      <c r="H77" s="62">
        <f>'N2O 1990-2019'!H73</f>
        <v>8105.6742836602962</v>
      </c>
      <c r="I77" s="62">
        <f>'N2O 1990-2019'!I73</f>
        <v>8229.4876640019993</v>
      </c>
      <c r="J77" s="62">
        <f>'N2O 1990-2019'!J73</f>
        <v>8138.5929293734371</v>
      </c>
      <c r="K77" s="62">
        <f>'N2O 1990-2019'!K73</f>
        <v>8577.9963968809934</v>
      </c>
      <c r="L77" s="62">
        <f>'N2O 1990-2019'!L73</f>
        <v>8351.6048530748139</v>
      </c>
      <c r="M77" s="62">
        <f>'N2O 1990-2019'!M73</f>
        <v>8054.6384454137788</v>
      </c>
      <c r="N77" s="62">
        <f>'N2O 1990-2019'!N73</f>
        <v>7579.9239571149701</v>
      </c>
      <c r="O77" s="62"/>
      <c r="P77" s="62"/>
      <c r="Q77" s="62">
        <f>'N2O 1990-2019'!O73</f>
        <v>7249.9295504538686</v>
      </c>
      <c r="R77" s="62">
        <f>'N2O 1990-2019'!P73</f>
        <v>7152.1712555431614</v>
      </c>
      <c r="S77" s="62">
        <f>'N2O 1990-2019'!Q73</f>
        <v>7017.3121144529186</v>
      </c>
      <c r="T77" s="62">
        <f>'N2O 1990-2019'!R73</f>
        <v>6891.7534381688156</v>
      </c>
      <c r="U77" s="62">
        <f>'N2O 1990-2019'!S73</f>
        <v>6681.2653834778139</v>
      </c>
      <c r="V77" s="62">
        <f>'N2O 1990-2019'!T73</f>
        <v>6432.3523902435081</v>
      </c>
      <c r="W77" s="62">
        <f>'N2O 1990-2019'!U73</f>
        <v>6386.8815896536316</v>
      </c>
      <c r="X77" s="62">
        <f>'N2O 1990-2019'!V73</f>
        <v>6197.6581950888394</v>
      </c>
      <c r="Y77" s="62">
        <f>'N2O 1990-2019'!W73</f>
        <v>6451.0212196754392</v>
      </c>
      <c r="Z77" s="62">
        <f>'N2O 1990-2019'!X73</f>
        <v>6026.8079049132457</v>
      </c>
      <c r="AA77" s="62">
        <f>'N2O 1990-2019'!Y73</f>
        <v>6264.688533046924</v>
      </c>
      <c r="AB77" s="62">
        <f>'N2O 1990-2019'!Z73</f>
        <v>6680.6006154691568</v>
      </c>
      <c r="AC77" s="62">
        <f>'N2O 1990-2019'!AA73</f>
        <v>6409.6469729411174</v>
      </c>
      <c r="AD77" s="62">
        <f>'N2O 1990-2019'!AB73</f>
        <v>6471.1460539919326</v>
      </c>
      <c r="AE77" s="62">
        <f>'N2O 1990-2019'!AC73</f>
        <v>6575.7073330857002</v>
      </c>
      <c r="AF77" s="62">
        <f>'N2O 1990-2019'!AD73</f>
        <v>6909.6085988328241</v>
      </c>
      <c r="AG77" s="62">
        <f>'N2O 1990-2019'!AE73</f>
        <v>7253.9135972516824</v>
      </c>
      <c r="AH77" s="62">
        <f>'N2O 1990-2019'!AF73</f>
        <v>6855.3282601959709</v>
      </c>
    </row>
    <row r="78" spans="1:39" x14ac:dyDescent="0.25">
      <c r="A78" s="7" t="s">
        <v>198</v>
      </c>
      <c r="B78" s="62">
        <f>'Other GHG 1990-2019'!D53</f>
        <v>34.591111871144001</v>
      </c>
      <c r="C78" s="62">
        <f>'Other GHG 1990-2019'!E53</f>
        <v>34.591111871144001</v>
      </c>
      <c r="D78" s="62">
        <f>'Other GHG 1990-2019'!F53</f>
        <v>49.500497452352</v>
      </c>
      <c r="E78" s="62">
        <f>'Other GHG 1990-2019'!G53</f>
        <v>64.409697447944012</v>
      </c>
      <c r="F78" s="62">
        <f>'Other GHG 1990-2019'!H53</f>
        <v>106.42517718178189</v>
      </c>
      <c r="G78" s="62">
        <f>'Other GHG 1990-2019'!I53</f>
        <v>149.55114964672029</v>
      </c>
      <c r="H78" s="62">
        <f>'Other GHG 1990-2019'!J53</f>
        <v>226.32569284465148</v>
      </c>
      <c r="I78" s="62">
        <f>'Other GHG 1990-2019'!K53</f>
        <v>326.19440166357015</v>
      </c>
      <c r="J78" s="62">
        <f>'Other GHG 1990-2019'!L53</f>
        <v>459.71553127872153</v>
      </c>
      <c r="K78" s="62">
        <f>'Other GHG 1990-2019'!M53</f>
        <v>373.29692450328292</v>
      </c>
      <c r="L78" s="62">
        <f>'Other GHG 1990-2019'!N53</f>
        <v>532.06751613482925</v>
      </c>
      <c r="M78" s="62">
        <f>'Other GHG 1990-2019'!O53</f>
        <v>768.65767343138577</v>
      </c>
      <c r="N78" s="62">
        <f>'Other GHG 1990-2019'!P53</f>
        <v>780.59668108223207</v>
      </c>
      <c r="O78" s="62"/>
      <c r="P78" s="62"/>
      <c r="Q78" s="62">
        <f>'Other GHG 1990-2019'!Q53</f>
        <v>771.11792514883575</v>
      </c>
      <c r="R78" s="62">
        <f>'Other GHG 1990-2019'!R53</f>
        <v>985.09287096326318</v>
      </c>
      <c r="S78" s="62">
        <f>'Other GHG 1990-2019'!S53</f>
        <v>998.58388644343574</v>
      </c>
      <c r="T78" s="62">
        <f>'Other GHG 1990-2019'!T53</f>
        <v>1197.0598675525353</v>
      </c>
      <c r="U78" s="62">
        <f>'Other GHG 1990-2019'!U53</f>
        <v>1179.1683193959805</v>
      </c>
      <c r="V78" s="62">
        <f>'Other GHG 1990-2019'!V53</f>
        <v>1174.9491879213688</v>
      </c>
      <c r="W78" s="62">
        <f>'Other GHG 1990-2019'!W53</f>
        <v>1187.1902168798613</v>
      </c>
      <c r="X78" s="62">
        <f>'Other GHG 1990-2019'!X53</f>
        <v>1151.2673362398546</v>
      </c>
      <c r="Y78" s="62">
        <f>'Other GHG 1990-2019'!Y53</f>
        <v>1127.8143458031184</v>
      </c>
      <c r="Z78" s="62">
        <f>'Other GHG 1990-2019'!Z53</f>
        <v>1145.6283164123583</v>
      </c>
      <c r="AA78" s="62">
        <f>'Other GHG 1990-2019'!AA53</f>
        <v>1122.7034051293324</v>
      </c>
      <c r="AB78" s="62">
        <f>'Other GHG 1990-2019'!AB53</f>
        <v>1159.099763166636</v>
      </c>
      <c r="AC78" s="62">
        <f>'Other GHG 1990-2019'!AC53</f>
        <v>1231.9322752131577</v>
      </c>
      <c r="AD78" s="62">
        <f>'Other GHG 1990-2019'!AD53</f>
        <v>1235.4403249555714</v>
      </c>
      <c r="AE78" s="62">
        <f>'Other GHG 1990-2019'!AE53</f>
        <v>1320.5385326050266</v>
      </c>
      <c r="AF78" s="62">
        <f>'Other GHG 1990-2019'!AF53</f>
        <v>1246.3204739132752</v>
      </c>
      <c r="AG78" s="62">
        <f>'Other GHG 1990-2019'!AG53</f>
        <v>937.60934934465604</v>
      </c>
      <c r="AH78" s="62">
        <f>'Other GHG 1990-2019'!AH53</f>
        <v>916.4698759914171</v>
      </c>
    </row>
    <row r="80" spans="1:39" x14ac:dyDescent="0.25">
      <c r="A80" s="7" t="s">
        <v>199</v>
      </c>
      <c r="B80" s="62">
        <f t="shared" ref="B80:N80" si="1">SUM(B75:B78)</f>
        <v>54400.316245699469</v>
      </c>
      <c r="C80" s="62">
        <f t="shared" si="1"/>
        <v>54400.316245699469</v>
      </c>
      <c r="D80" s="62">
        <f t="shared" si="1"/>
        <v>55210.265592130592</v>
      </c>
      <c r="E80" s="62">
        <f t="shared" si="1"/>
        <v>55196.530786992247</v>
      </c>
      <c r="F80" s="62">
        <f t="shared" si="1"/>
        <v>55739.946238457895</v>
      </c>
      <c r="G80" s="62">
        <f t="shared" si="1"/>
        <v>57215.058323179546</v>
      </c>
      <c r="H80" s="62">
        <f t="shared" si="1"/>
        <v>58740.880181112094</v>
      </c>
      <c r="I80" s="62">
        <f t="shared" si="1"/>
        <v>60904.76793040245</v>
      </c>
      <c r="J80" s="62">
        <f t="shared" si="1"/>
        <v>62361.153282519866</v>
      </c>
      <c r="K80" s="62">
        <f t="shared" si="1"/>
        <v>64942.465017423739</v>
      </c>
      <c r="L80" s="62">
        <f t="shared" si="1"/>
        <v>66202.867533274693</v>
      </c>
      <c r="M80" s="62">
        <f t="shared" si="1"/>
        <v>68458.709869933446</v>
      </c>
      <c r="N80" s="62">
        <f t="shared" si="1"/>
        <v>70487.204969431084</v>
      </c>
      <c r="O80" s="62"/>
      <c r="P80" s="62"/>
      <c r="Q80" s="62">
        <f t="shared" ref="Q80:AH80" si="2">SUM(Q75:Q78)</f>
        <v>68623.045834288307</v>
      </c>
      <c r="R80" s="62">
        <f t="shared" si="2"/>
        <v>69032.773587911608</v>
      </c>
      <c r="S80" s="62">
        <f t="shared" si="2"/>
        <v>68384.547225866627</v>
      </c>
      <c r="T80" s="62">
        <f t="shared" si="2"/>
        <v>70264.340311238309</v>
      </c>
      <c r="U80" s="62">
        <f t="shared" si="2"/>
        <v>69620.58404320298</v>
      </c>
      <c r="V80" s="62">
        <f t="shared" si="2"/>
        <v>68591.568233994709</v>
      </c>
      <c r="W80" s="62">
        <f t="shared" si="2"/>
        <v>68131.457173070143</v>
      </c>
      <c r="X80" s="62">
        <f t="shared" si="2"/>
        <v>62356.374429898169</v>
      </c>
      <c r="Y80" s="62">
        <f t="shared" si="2"/>
        <v>61949.414292341236</v>
      </c>
      <c r="Z80" s="62">
        <f t="shared" si="2"/>
        <v>57793.58359918779</v>
      </c>
      <c r="AA80" s="62">
        <f t="shared" si="2"/>
        <v>58785.136150809172</v>
      </c>
      <c r="AB80" s="62">
        <f t="shared" si="2"/>
        <v>58570.583263981345</v>
      </c>
      <c r="AC80" s="62">
        <f t="shared" si="2"/>
        <v>58062.567760655547</v>
      </c>
      <c r="AD80" s="62">
        <f t="shared" si="2"/>
        <v>60431.953041355788</v>
      </c>
      <c r="AE80" s="62">
        <f t="shared" si="2"/>
        <v>62475.137332477178</v>
      </c>
      <c r="AF80" s="62">
        <f t="shared" si="2"/>
        <v>62114.860882018351</v>
      </c>
      <c r="AG80" s="62">
        <f t="shared" si="2"/>
        <v>62526.013969678192</v>
      </c>
      <c r="AH80" s="62">
        <f t="shared" si="2"/>
        <v>59777.639617216053</v>
      </c>
    </row>
    <row r="81" spans="1:34" x14ac:dyDescent="0.25">
      <c r="A81" s="7" t="s">
        <v>199</v>
      </c>
      <c r="B81" s="64">
        <f t="shared" ref="B81:N81" si="3">B65</f>
        <v>54400.316245699461</v>
      </c>
      <c r="C81" s="64">
        <f t="shared" si="3"/>
        <v>54400.316245699461</v>
      </c>
      <c r="D81" s="64">
        <f t="shared" si="3"/>
        <v>55210.265592130592</v>
      </c>
      <c r="E81" s="64">
        <f t="shared" si="3"/>
        <v>55196.530786992247</v>
      </c>
      <c r="F81" s="64">
        <f t="shared" si="3"/>
        <v>55739.946238457887</v>
      </c>
      <c r="G81" s="64">
        <f t="shared" si="3"/>
        <v>57215.058323179546</v>
      </c>
      <c r="H81" s="64">
        <f t="shared" si="3"/>
        <v>58740.880181112101</v>
      </c>
      <c r="I81" s="64">
        <f t="shared" si="3"/>
        <v>60904.76793040245</v>
      </c>
      <c r="J81" s="64">
        <f t="shared" si="3"/>
        <v>62361.153282519866</v>
      </c>
      <c r="K81" s="64">
        <f t="shared" si="3"/>
        <v>64942.465017423739</v>
      </c>
      <c r="L81" s="64">
        <f t="shared" si="3"/>
        <v>66202.867533274693</v>
      </c>
      <c r="M81" s="64">
        <f t="shared" si="3"/>
        <v>68458.709869933446</v>
      </c>
      <c r="N81" s="64">
        <f t="shared" si="3"/>
        <v>70487.204969431099</v>
      </c>
      <c r="O81" s="64"/>
      <c r="P81" s="64"/>
      <c r="Q81" s="64">
        <f t="shared" ref="Q81:AH81" si="4">Q65</f>
        <v>68623.045834288307</v>
      </c>
      <c r="R81" s="64">
        <f t="shared" si="4"/>
        <v>69032.773587911608</v>
      </c>
      <c r="S81" s="64">
        <f t="shared" si="4"/>
        <v>68384.547225866627</v>
      </c>
      <c r="T81" s="64">
        <f t="shared" si="4"/>
        <v>70264.340311238309</v>
      </c>
      <c r="U81" s="64">
        <f t="shared" si="4"/>
        <v>69620.58404320298</v>
      </c>
      <c r="V81" s="64">
        <f t="shared" si="4"/>
        <v>68591.568233994694</v>
      </c>
      <c r="W81" s="64">
        <f t="shared" si="4"/>
        <v>68131.457173070143</v>
      </c>
      <c r="X81" s="64">
        <f t="shared" si="4"/>
        <v>62356.374429898169</v>
      </c>
      <c r="Y81" s="64">
        <f t="shared" si="4"/>
        <v>61949.414292341236</v>
      </c>
      <c r="Z81" s="64">
        <f t="shared" si="4"/>
        <v>57793.583599187798</v>
      </c>
      <c r="AA81" s="64">
        <f t="shared" si="4"/>
        <v>58785.13615080918</v>
      </c>
      <c r="AB81" s="64">
        <f t="shared" si="4"/>
        <v>58570.583263981345</v>
      </c>
      <c r="AC81" s="64">
        <f t="shared" si="4"/>
        <v>58062.567760655547</v>
      </c>
      <c r="AD81" s="64">
        <f t="shared" si="4"/>
        <v>60431.953041355788</v>
      </c>
      <c r="AE81" s="64">
        <f t="shared" si="4"/>
        <v>62475.137332477178</v>
      </c>
      <c r="AF81" s="64">
        <f t="shared" si="4"/>
        <v>62114.860882018344</v>
      </c>
      <c r="AG81" s="64">
        <f t="shared" si="4"/>
        <v>62526.013969678192</v>
      </c>
      <c r="AH81" s="64">
        <f t="shared" si="4"/>
        <v>59777.639617216053</v>
      </c>
    </row>
    <row r="82" spans="1:34" x14ac:dyDescent="0.25">
      <c r="A82" s="7" t="s">
        <v>199</v>
      </c>
      <c r="B82" s="65">
        <f>B80-B81</f>
        <v>0</v>
      </c>
      <c r="C82" s="65">
        <f t="shared" ref="C82:AH82" si="5">C80-C81</f>
        <v>0</v>
      </c>
      <c r="D82" s="65">
        <f t="shared" si="5"/>
        <v>0</v>
      </c>
      <c r="E82" s="65">
        <f t="shared" si="5"/>
        <v>0</v>
      </c>
      <c r="F82" s="65">
        <f t="shared" si="5"/>
        <v>0</v>
      </c>
      <c r="G82" s="65">
        <f t="shared" si="5"/>
        <v>0</v>
      </c>
      <c r="H82" s="65">
        <f t="shared" si="5"/>
        <v>0</v>
      </c>
      <c r="I82" s="65">
        <f t="shared" si="5"/>
        <v>0</v>
      </c>
      <c r="J82" s="65">
        <f t="shared" si="5"/>
        <v>0</v>
      </c>
      <c r="K82" s="65">
        <f t="shared" si="5"/>
        <v>0</v>
      </c>
      <c r="L82" s="65">
        <f t="shared" si="5"/>
        <v>0</v>
      </c>
      <c r="M82" s="65">
        <f t="shared" si="5"/>
        <v>0</v>
      </c>
      <c r="N82" s="65">
        <f t="shared" si="5"/>
        <v>0</v>
      </c>
      <c r="O82" s="65"/>
      <c r="P82" s="65"/>
      <c r="Q82" s="65">
        <f t="shared" si="5"/>
        <v>0</v>
      </c>
      <c r="R82" s="65">
        <f t="shared" si="5"/>
        <v>0</v>
      </c>
      <c r="S82" s="65">
        <f t="shared" si="5"/>
        <v>0</v>
      </c>
      <c r="T82" s="65">
        <f t="shared" si="5"/>
        <v>0</v>
      </c>
      <c r="U82" s="65">
        <f t="shared" si="5"/>
        <v>0</v>
      </c>
      <c r="V82" s="65">
        <f t="shared" si="5"/>
        <v>0</v>
      </c>
      <c r="W82" s="65">
        <f t="shared" si="5"/>
        <v>0</v>
      </c>
      <c r="X82" s="65">
        <f t="shared" si="5"/>
        <v>0</v>
      </c>
      <c r="Y82" s="65">
        <f t="shared" si="5"/>
        <v>0</v>
      </c>
      <c r="Z82" s="65">
        <f t="shared" si="5"/>
        <v>0</v>
      </c>
      <c r="AA82" s="65">
        <f t="shared" si="5"/>
        <v>0</v>
      </c>
      <c r="AB82" s="65">
        <f t="shared" si="5"/>
        <v>0</v>
      </c>
      <c r="AC82" s="65">
        <f t="shared" si="5"/>
        <v>0</v>
      </c>
      <c r="AD82" s="65">
        <f t="shared" si="5"/>
        <v>0</v>
      </c>
      <c r="AE82" s="65">
        <f t="shared" si="5"/>
        <v>0</v>
      </c>
      <c r="AF82" s="65">
        <f t="shared" si="5"/>
        <v>0</v>
      </c>
      <c r="AG82" s="65">
        <f t="shared" si="5"/>
        <v>0</v>
      </c>
      <c r="AH82" s="65">
        <f t="shared" si="5"/>
        <v>0</v>
      </c>
    </row>
    <row r="84" spans="1:34" x14ac:dyDescent="0.25">
      <c r="A84" s="57" t="str">
        <f>A65</f>
        <v>Total CO2 equivalent emissions without land use, land-use change and forestry</v>
      </c>
      <c r="B84" s="62">
        <f t="shared" ref="B84:AG84" si="6">B65</f>
        <v>54400.316245699461</v>
      </c>
      <c r="C84" s="62">
        <f t="shared" si="6"/>
        <v>54400.316245699461</v>
      </c>
      <c r="D84" s="62">
        <f t="shared" si="6"/>
        <v>55210.265592130592</v>
      </c>
      <c r="E84" s="62">
        <f t="shared" si="6"/>
        <v>55196.530786992247</v>
      </c>
      <c r="F84" s="62">
        <f t="shared" si="6"/>
        <v>55739.946238457887</v>
      </c>
      <c r="G84" s="62">
        <f t="shared" si="6"/>
        <v>57215.058323179546</v>
      </c>
      <c r="H84" s="62">
        <f t="shared" si="6"/>
        <v>58740.880181112101</v>
      </c>
      <c r="I84" s="62">
        <f t="shared" si="6"/>
        <v>60904.76793040245</v>
      </c>
      <c r="J84" s="62">
        <f t="shared" si="6"/>
        <v>62361.153282519866</v>
      </c>
      <c r="K84" s="62">
        <f t="shared" si="6"/>
        <v>64942.465017423739</v>
      </c>
      <c r="L84" s="62">
        <f t="shared" si="6"/>
        <v>66202.867533274693</v>
      </c>
      <c r="M84" s="62">
        <f t="shared" si="6"/>
        <v>68458.709869933446</v>
      </c>
      <c r="N84" s="62">
        <f t="shared" si="6"/>
        <v>70487.204969431099</v>
      </c>
      <c r="O84" s="62"/>
      <c r="P84" s="62"/>
      <c r="Q84" s="62">
        <f t="shared" si="6"/>
        <v>68623.045834288307</v>
      </c>
      <c r="R84" s="62">
        <f t="shared" si="6"/>
        <v>69032.773587911608</v>
      </c>
      <c r="S84" s="62">
        <f t="shared" si="6"/>
        <v>68384.547225866627</v>
      </c>
      <c r="T84" s="62">
        <f t="shared" si="6"/>
        <v>70264.340311238309</v>
      </c>
      <c r="U84" s="62">
        <f t="shared" si="6"/>
        <v>69620.58404320298</v>
      </c>
      <c r="V84" s="62">
        <f t="shared" si="6"/>
        <v>68591.568233994694</v>
      </c>
      <c r="W84" s="62">
        <f t="shared" si="6"/>
        <v>68131.457173070143</v>
      </c>
      <c r="X84" s="62">
        <f t="shared" si="6"/>
        <v>62356.374429898169</v>
      </c>
      <c r="Y84" s="62">
        <f t="shared" si="6"/>
        <v>61949.414292341236</v>
      </c>
      <c r="Z84" s="62">
        <f t="shared" si="6"/>
        <v>57793.583599187798</v>
      </c>
      <c r="AA84" s="62">
        <f t="shared" si="6"/>
        <v>58785.13615080918</v>
      </c>
      <c r="AB84" s="62">
        <f t="shared" si="6"/>
        <v>58570.583263981345</v>
      </c>
      <c r="AC84" s="62">
        <f t="shared" si="6"/>
        <v>58062.567760655547</v>
      </c>
      <c r="AD84" s="62">
        <f t="shared" si="6"/>
        <v>60431.953041355788</v>
      </c>
      <c r="AE84" s="62">
        <f t="shared" si="6"/>
        <v>62475.137332477178</v>
      </c>
      <c r="AF84" s="62">
        <f t="shared" si="6"/>
        <v>62114.860882018344</v>
      </c>
      <c r="AG84" s="62">
        <f t="shared" si="6"/>
        <v>62526.013969678192</v>
      </c>
      <c r="AH84" s="62">
        <f t="shared" ref="AH84" si="7">AH65</f>
        <v>59777.639617216053</v>
      </c>
    </row>
    <row r="85" spans="1:34" x14ac:dyDescent="0.25">
      <c r="A85" s="57" t="str">
        <f>A66</f>
        <v>Total CO2 equivalent emissions with land use, land-use change and forestry</v>
      </c>
      <c r="B85" s="62">
        <f t="shared" ref="B85:AG85" si="8">B66</f>
        <v>59531.399447095057</v>
      </c>
      <c r="C85" s="62">
        <f t="shared" si="8"/>
        <v>59531.399447095057</v>
      </c>
      <c r="D85" s="62">
        <f t="shared" si="8"/>
        <v>60185.148553503874</v>
      </c>
      <c r="E85" s="62">
        <f t="shared" si="8"/>
        <v>59886.679157454462</v>
      </c>
      <c r="F85" s="62">
        <f t="shared" si="8"/>
        <v>60342.600017744255</v>
      </c>
      <c r="G85" s="62">
        <f t="shared" si="8"/>
        <v>61923.850459232621</v>
      </c>
      <c r="H85" s="62">
        <f t="shared" si="8"/>
        <v>64431.413620525171</v>
      </c>
      <c r="I85" s="62">
        <f t="shared" si="8"/>
        <v>66196.016708350144</v>
      </c>
      <c r="J85" s="62">
        <f t="shared" si="8"/>
        <v>66958.620036340653</v>
      </c>
      <c r="K85" s="62">
        <f t="shared" si="8"/>
        <v>69312.521578645537</v>
      </c>
      <c r="L85" s="62">
        <f t="shared" si="8"/>
        <v>70689.539628897022</v>
      </c>
      <c r="M85" s="62">
        <f t="shared" si="8"/>
        <v>74343.379476062983</v>
      </c>
      <c r="N85" s="62">
        <f t="shared" si="8"/>
        <v>77683.205512489047</v>
      </c>
      <c r="O85" s="62"/>
      <c r="P85" s="62"/>
      <c r="Q85" s="62">
        <f t="shared" si="8"/>
        <v>75457.886042333281</v>
      </c>
      <c r="R85" s="62">
        <f t="shared" si="8"/>
        <v>76166.042369249437</v>
      </c>
      <c r="S85" s="62">
        <f t="shared" si="8"/>
        <v>73855.218863784845</v>
      </c>
      <c r="T85" s="62">
        <f t="shared" si="8"/>
        <v>76248.521422779973</v>
      </c>
      <c r="U85" s="62">
        <f t="shared" si="8"/>
        <v>76031.092565587387</v>
      </c>
      <c r="V85" s="62">
        <f t="shared" si="8"/>
        <v>74214.520904695426</v>
      </c>
      <c r="W85" s="62">
        <f t="shared" si="8"/>
        <v>72976.965725298927</v>
      </c>
      <c r="X85" s="62">
        <f t="shared" si="8"/>
        <v>66926.966812323357</v>
      </c>
      <c r="Y85" s="62">
        <f t="shared" si="8"/>
        <v>68191.858870432858</v>
      </c>
      <c r="Z85" s="62">
        <f t="shared" si="8"/>
        <v>63279.047530669086</v>
      </c>
      <c r="AA85" s="62">
        <f t="shared" si="8"/>
        <v>63238.000374156785</v>
      </c>
      <c r="AB85" s="62">
        <f t="shared" si="8"/>
        <v>63144.63786675853</v>
      </c>
      <c r="AC85" s="62">
        <f t="shared" si="8"/>
        <v>63999.34806238184</v>
      </c>
      <c r="AD85" s="62">
        <f t="shared" si="8"/>
        <v>66010.229193706022</v>
      </c>
      <c r="AE85" s="62">
        <f t="shared" si="8"/>
        <v>67459.168937060633</v>
      </c>
      <c r="AF85" s="62">
        <f t="shared" si="8"/>
        <v>68600.543840170969</v>
      </c>
      <c r="AG85" s="62">
        <f t="shared" si="8"/>
        <v>67312.041310940345</v>
      </c>
      <c r="AH85" s="62">
        <f t="shared" ref="AH85" si="9">AH66</f>
        <v>64220.259223526271</v>
      </c>
    </row>
    <row r="86" spans="1:34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4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4" x14ac:dyDescent="0.25">
      <c r="A88" s="7" t="s">
        <v>188</v>
      </c>
      <c r="I88" s="7" t="s">
        <v>7</v>
      </c>
      <c r="J88" s="7">
        <v>28</v>
      </c>
      <c r="K88" s="7" t="s">
        <v>7</v>
      </c>
      <c r="L88" s="7">
        <v>265</v>
      </c>
    </row>
    <row r="89" spans="1:34" ht="34.5" x14ac:dyDescent="0.25">
      <c r="B89" s="7" t="s">
        <v>1</v>
      </c>
      <c r="C89" s="67" t="str">
        <f>'CO2 1990-2019'!D79</f>
        <v>Total (excl LULUCF and F-gases)</v>
      </c>
      <c r="D89" s="67" t="str">
        <f>'CO2 1990-2019'!E79</f>
        <v>Total (incl LULUCF and F-gases)</v>
      </c>
      <c r="E89" s="67" t="str">
        <f>'CH4 1990-2019'!D78</f>
        <v>Total CH4 emissions without CH4 from LULUCF</v>
      </c>
      <c r="F89" s="67" t="str">
        <f>'CH4 1990-2019'!E78</f>
        <v>Total CH4 emissions with CH4 from LULUCF</v>
      </c>
      <c r="G89" s="67" t="str">
        <f>'N2O 1990-2019'!D79</f>
        <v>Total direct N2O emissions without N2O from LULUCF</v>
      </c>
      <c r="H89" s="67" t="str">
        <f>'N2O 1990-2019'!E79</f>
        <v>Total direct N2O emissions with N2O from LULUCF</v>
      </c>
      <c r="I89" s="67" t="str">
        <f>E89</f>
        <v>Total CH4 emissions without CH4 from LULUCF</v>
      </c>
      <c r="J89" s="67" t="str">
        <f t="shared" ref="J89:L89" si="10">F89</f>
        <v>Total CH4 emissions with CH4 from LULUCF</v>
      </c>
      <c r="K89" s="67" t="str">
        <f t="shared" si="10"/>
        <v>Total direct N2O emissions without N2O from LULUCF</v>
      </c>
      <c r="L89" s="67" t="str">
        <f t="shared" si="10"/>
        <v>Total direct N2O emissions with N2O from LULUCF</v>
      </c>
      <c r="M89" s="7" t="s">
        <v>198</v>
      </c>
      <c r="N89" s="67" t="s">
        <v>205</v>
      </c>
      <c r="O89" s="67" t="s">
        <v>206</v>
      </c>
      <c r="Q89" s="67" t="s">
        <v>192</v>
      </c>
      <c r="R89" s="67" t="s">
        <v>193</v>
      </c>
    </row>
    <row r="90" spans="1:34" x14ac:dyDescent="0.25">
      <c r="B90" s="66">
        <f>'CO2 1990-2019'!C80</f>
        <v>1990</v>
      </c>
      <c r="C90" s="66">
        <f>'CO2 1990-2019'!D80</f>
        <v>32943.60363844176</v>
      </c>
      <c r="D90" s="66">
        <f>'CO2 1990-2019'!E80</f>
        <v>37503.901917692638</v>
      </c>
      <c r="E90" s="62">
        <f>'CH4 1990-2019'!D80</f>
        <v>550.0823087549619</v>
      </c>
      <c r="F90" s="62">
        <f>'CH4 1990-2019'!E80</f>
        <v>568.46617435307712</v>
      </c>
      <c r="G90" s="59">
        <f>'N2O 1990-2019'!D81</f>
        <v>25.738469048699699</v>
      </c>
      <c r="H90" s="59">
        <f>'N2O 1990-2019'!E81</f>
        <v>26.227661646226469</v>
      </c>
      <c r="I90" s="62">
        <f>E90*$J$88</f>
        <v>15402.304645138933</v>
      </c>
      <c r="J90" s="62">
        <f>F90*$J$88</f>
        <v>15917.05288188616</v>
      </c>
      <c r="K90" s="62">
        <f>G90*$L$88</f>
        <v>6820.6942979054202</v>
      </c>
      <c r="L90" s="62">
        <f t="shared" ref="L90:L119" si="11">H90*$L$88</f>
        <v>6950.3303362500146</v>
      </c>
      <c r="M90" s="62">
        <f>'Other GHG 1990-2019'!H60</f>
        <v>34.591111871144001</v>
      </c>
      <c r="N90" s="62">
        <f>K90+I90+C90</f>
        <v>55166.602581486113</v>
      </c>
      <c r="O90" s="62">
        <f t="shared" ref="O90:O119" si="12">L90+J90+D90</f>
        <v>60371.285135828817</v>
      </c>
      <c r="Q90" s="62">
        <v>54400.316245699461</v>
      </c>
      <c r="R90" s="62">
        <v>59531.399447095057</v>
      </c>
    </row>
    <row r="91" spans="1:34" x14ac:dyDescent="0.25">
      <c r="B91" s="66">
        <f>'CO2 1990-2019'!C81</f>
        <v>1991</v>
      </c>
      <c r="C91" s="66">
        <f>'CO2 1990-2019'!D81</f>
        <v>33673.49439639716</v>
      </c>
      <c r="D91" s="66">
        <f>'CO2 1990-2019'!E81</f>
        <v>38099.012193795097</v>
      </c>
      <c r="E91" s="62">
        <f>'CH4 1990-2019'!D81</f>
        <v>561.66769479749064</v>
      </c>
      <c r="F91" s="62">
        <f>'CH4 1990-2019'!E81</f>
        <v>578.99497527056076</v>
      </c>
      <c r="G91" s="59">
        <f>'N2O 1990-2019'!D82</f>
        <v>24.98516217565038</v>
      </c>
      <c r="H91" s="59">
        <f>'N2O 1990-2019'!E82</f>
        <v>25.54114757699584</v>
      </c>
      <c r="I91" s="62">
        <f t="shared" ref="I91:I119" si="13">E91*$J$88</f>
        <v>15726.695454329738</v>
      </c>
      <c r="J91" s="62">
        <f t="shared" ref="J91:J119" si="14">F91*$J$88</f>
        <v>16211.859307575702</v>
      </c>
      <c r="K91" s="62">
        <f t="shared" ref="K91:K119" si="15">G91*$L$88</f>
        <v>6621.0679765473506</v>
      </c>
      <c r="L91" s="62">
        <f t="shared" si="11"/>
        <v>6768.404107903898</v>
      </c>
      <c r="M91" s="62">
        <f>'Other GHG 1990-2019'!H61</f>
        <v>49.500497452352</v>
      </c>
      <c r="N91" s="62">
        <f t="shared" ref="N91:N119" si="16">K91+I91+C91</f>
        <v>56021.257827274247</v>
      </c>
      <c r="O91" s="62">
        <f t="shared" si="12"/>
        <v>61079.2756092747</v>
      </c>
      <c r="Q91" s="62">
        <v>55210.265592130592</v>
      </c>
      <c r="R91" s="62">
        <v>60185.148553503874</v>
      </c>
    </row>
    <row r="92" spans="1:34" x14ac:dyDescent="0.25">
      <c r="B92" s="66">
        <f>'CO2 1990-2019'!C82</f>
        <v>1992</v>
      </c>
      <c r="C92" s="66">
        <f>'CO2 1990-2019'!D82</f>
        <v>33494.498394831789</v>
      </c>
      <c r="D92" s="66">
        <f>'CO2 1990-2019'!E82</f>
        <v>37716.18340165187</v>
      </c>
      <c r="E92" s="62">
        <f>'CH4 1990-2019'!D82</f>
        <v>570.26966971677325</v>
      </c>
      <c r="F92" s="62">
        <f>'CH4 1990-2019'!E82</f>
        <v>586.38316837148284</v>
      </c>
      <c r="G92" s="59">
        <f>'N2O 1990-2019'!D83</f>
        <v>24.768056885212019</v>
      </c>
      <c r="H92" s="59">
        <f>'N2O 1990-2019'!E83</f>
        <v>25.204417941327272</v>
      </c>
      <c r="I92" s="62">
        <f t="shared" si="13"/>
        <v>15967.550752069652</v>
      </c>
      <c r="J92" s="62">
        <f t="shared" si="14"/>
        <v>16418.728714401521</v>
      </c>
      <c r="K92" s="62">
        <f t="shared" si="15"/>
        <v>6563.5350745811847</v>
      </c>
      <c r="L92" s="62">
        <f t="shared" si="11"/>
        <v>6679.1707544517267</v>
      </c>
      <c r="M92" s="62">
        <f>'Other GHG 1990-2019'!H62</f>
        <v>64.409697447944012</v>
      </c>
      <c r="N92" s="62">
        <f t="shared" si="16"/>
        <v>56025.584221482626</v>
      </c>
      <c r="O92" s="62">
        <f t="shared" si="12"/>
        <v>60814.082870505117</v>
      </c>
      <c r="Q92" s="62">
        <v>55196.530786992247</v>
      </c>
      <c r="R92" s="62">
        <v>59886.679157454462</v>
      </c>
    </row>
    <row r="93" spans="1:34" x14ac:dyDescent="0.25">
      <c r="B93" s="66">
        <f>'CO2 1990-2019'!C83</f>
        <v>1993</v>
      </c>
      <c r="C93" s="66">
        <f>'CO2 1990-2019'!D83</f>
        <v>33715.571485648332</v>
      </c>
      <c r="D93" s="66">
        <f>'CO2 1990-2019'!E83</f>
        <v>37813.894147276056</v>
      </c>
      <c r="E93" s="62">
        <f>'CH4 1990-2019'!D83</f>
        <v>576.16133514674175</v>
      </c>
      <c r="F93" s="62">
        <f>'CH4 1990-2019'!E83</f>
        <v>594.83377727766901</v>
      </c>
      <c r="G93" s="59">
        <f>'N2O 1990-2019'!D84</f>
        <v>25.214483882413539</v>
      </c>
      <c r="H93" s="59">
        <f>'N2O 1990-2019'!E84</f>
        <v>25.697521605793529</v>
      </c>
      <c r="I93" s="62">
        <f t="shared" si="13"/>
        <v>16132.517384108769</v>
      </c>
      <c r="J93" s="62">
        <f t="shared" si="14"/>
        <v>16655.345763774734</v>
      </c>
      <c r="K93" s="62">
        <f t="shared" si="15"/>
        <v>6681.8382288395878</v>
      </c>
      <c r="L93" s="62">
        <f t="shared" si="11"/>
        <v>6809.8432255352855</v>
      </c>
      <c r="M93" s="62">
        <f>'Other GHG 1990-2019'!H63</f>
        <v>106.42517718178189</v>
      </c>
      <c r="N93" s="62">
        <f t="shared" si="16"/>
        <v>56529.927098596687</v>
      </c>
      <c r="O93" s="62">
        <f t="shared" si="12"/>
        <v>61279.083136586079</v>
      </c>
      <c r="Q93" s="62">
        <v>55739.946238457887</v>
      </c>
      <c r="R93" s="62">
        <v>60342.600017744255</v>
      </c>
    </row>
    <row r="94" spans="1:34" x14ac:dyDescent="0.25">
      <c r="B94" s="66">
        <f>'CO2 1990-2019'!C84</f>
        <v>1994</v>
      </c>
      <c r="C94" s="66">
        <f>'CO2 1990-2019'!D84</f>
        <v>34837.654227246712</v>
      </c>
      <c r="D94" s="66">
        <f>'CO2 1990-2019'!E84</f>
        <v>39097.461645272393</v>
      </c>
      <c r="E94" s="62">
        <f>'CH4 1990-2019'!D84</f>
        <v>577.46599858160948</v>
      </c>
      <c r="F94" s="62">
        <f>'CH4 1990-2019'!E84</f>
        <v>595.26602098909939</v>
      </c>
      <c r="G94" s="59">
        <f>'N2O 1990-2019'!D85</f>
        <v>26.144976448811668</v>
      </c>
      <c r="H94" s="59">
        <f>'N2O 1990-2019'!E85</f>
        <v>26.66019560145218</v>
      </c>
      <c r="I94" s="62">
        <f t="shared" si="13"/>
        <v>16169.047960285065</v>
      </c>
      <c r="J94" s="62">
        <f t="shared" si="14"/>
        <v>16667.448587694784</v>
      </c>
      <c r="K94" s="62">
        <f t="shared" si="15"/>
        <v>6928.4187589350922</v>
      </c>
      <c r="L94" s="62">
        <f t="shared" si="11"/>
        <v>7064.9518343848276</v>
      </c>
      <c r="M94" s="62">
        <f>'Other GHG 1990-2019'!H64</f>
        <v>149.55114964672029</v>
      </c>
      <c r="N94" s="62">
        <f t="shared" si="16"/>
        <v>57935.120946466865</v>
      </c>
      <c r="O94" s="62">
        <f t="shared" si="12"/>
        <v>62829.862067352005</v>
      </c>
      <c r="Q94" s="62">
        <v>57215.058323179546</v>
      </c>
      <c r="R94" s="62">
        <v>61923.850459232621</v>
      </c>
    </row>
    <row r="95" spans="1:34" x14ac:dyDescent="0.25">
      <c r="B95" s="66">
        <f>'CO2 1990-2019'!C85</f>
        <v>1995</v>
      </c>
      <c r="C95" s="66">
        <f>'CO2 1990-2019'!D85</f>
        <v>35852.202662148069</v>
      </c>
      <c r="D95" s="66">
        <f>'CO2 1990-2019'!E85</f>
        <v>41117.756580617206</v>
      </c>
      <c r="E95" s="62">
        <f>'CH4 1990-2019'!D85</f>
        <v>582.26710169836315</v>
      </c>
      <c r="F95" s="62">
        <f>'CH4 1990-2019'!E85</f>
        <v>600.59169683666335</v>
      </c>
      <c r="G95" s="59">
        <f>'N2O 1990-2019'!D86</f>
        <v>27.20024927402784</v>
      </c>
      <c r="H95" s="59">
        <f>'N2O 1990-2019'!E86</f>
        <v>27.848538989904149</v>
      </c>
      <c r="I95" s="62">
        <f t="shared" si="13"/>
        <v>16303.478847554168</v>
      </c>
      <c r="J95" s="62">
        <f t="shared" si="14"/>
        <v>16816.567511426572</v>
      </c>
      <c r="K95" s="62">
        <f t="shared" si="15"/>
        <v>7208.0660576173777</v>
      </c>
      <c r="L95" s="62">
        <f t="shared" si="11"/>
        <v>7379.8628323245994</v>
      </c>
      <c r="M95" s="62">
        <f>'Other GHG 1990-2019'!H65</f>
        <v>226.32569284465148</v>
      </c>
      <c r="N95" s="62">
        <f t="shared" si="16"/>
        <v>59363.747567319617</v>
      </c>
      <c r="O95" s="62">
        <f t="shared" si="12"/>
        <v>65314.186924368376</v>
      </c>
      <c r="Q95" s="62">
        <v>58740.880181112101</v>
      </c>
      <c r="R95" s="62">
        <v>64431.413620525171</v>
      </c>
    </row>
    <row r="96" spans="1:34" x14ac:dyDescent="0.25">
      <c r="B96" s="66">
        <f>'CO2 1990-2019'!C86</f>
        <v>1996</v>
      </c>
      <c r="C96" s="66">
        <f>'CO2 1990-2019'!D86</f>
        <v>37468.512713817669</v>
      </c>
      <c r="D96" s="66">
        <f>'CO2 1990-2019'!E86</f>
        <v>42401.848154429681</v>
      </c>
      <c r="E96" s="62">
        <f>'CH4 1990-2019'!D86</f>
        <v>595.2229260367684</v>
      </c>
      <c r="F96" s="62">
        <f>'CH4 1990-2019'!E86</f>
        <v>615.11089079967098</v>
      </c>
      <c r="G96" s="59">
        <f>'N2O 1990-2019'!D87</f>
        <v>27.61573041611409</v>
      </c>
      <c r="H96" s="59">
        <f>'N2O 1990-2019'!E87</f>
        <v>28.242940550096499</v>
      </c>
      <c r="I96" s="62">
        <f t="shared" si="13"/>
        <v>16666.241929029515</v>
      </c>
      <c r="J96" s="62">
        <f t="shared" si="14"/>
        <v>17223.104942390786</v>
      </c>
      <c r="K96" s="62">
        <f t="shared" si="15"/>
        <v>7318.1685602702337</v>
      </c>
      <c r="L96" s="62">
        <f t="shared" si="11"/>
        <v>7484.3792457755726</v>
      </c>
      <c r="M96" s="62">
        <f>'Other GHG 1990-2019'!H66</f>
        <v>326.19440166357015</v>
      </c>
      <c r="N96" s="62">
        <f t="shared" si="16"/>
        <v>61452.923203117418</v>
      </c>
      <c r="O96" s="62">
        <f t="shared" si="12"/>
        <v>67109.332342596041</v>
      </c>
      <c r="Q96" s="62">
        <v>60904.76793040245</v>
      </c>
      <c r="R96" s="62">
        <v>66196.016708350144</v>
      </c>
    </row>
    <row r="97" spans="2:18" x14ac:dyDescent="0.25">
      <c r="B97" s="66">
        <f>'CO2 1990-2019'!C87</f>
        <v>1997</v>
      </c>
      <c r="C97" s="66">
        <f>'CO2 1990-2019'!D87</f>
        <v>38804.278996628193</v>
      </c>
      <c r="D97" s="66">
        <f>'CO2 1990-2019'!E87</f>
        <v>43245.116683187582</v>
      </c>
      <c r="E97" s="62">
        <f>'CH4 1990-2019'!D87</f>
        <v>598.3426330095806</v>
      </c>
      <c r="F97" s="62">
        <f>'CH4 1990-2019'!E87</f>
        <v>614.88733682276097</v>
      </c>
      <c r="G97" s="59">
        <f>'N2O 1990-2019'!D88</f>
        <v>27.310714528098782</v>
      </c>
      <c r="H97" s="59">
        <f>'N2O 1990-2019'!E88</f>
        <v>27.991006485181408</v>
      </c>
      <c r="I97" s="62">
        <f t="shared" si="13"/>
        <v>16753.593724268256</v>
      </c>
      <c r="J97" s="62">
        <f t="shared" si="14"/>
        <v>17216.845431037305</v>
      </c>
      <c r="K97" s="62">
        <f t="shared" si="15"/>
        <v>7237.3393499461772</v>
      </c>
      <c r="L97" s="62">
        <f t="shared" si="11"/>
        <v>7417.6167185730728</v>
      </c>
      <c r="M97" s="62">
        <f>'Other GHG 1990-2019'!H67</f>
        <v>459.71553127872153</v>
      </c>
      <c r="N97" s="62">
        <f t="shared" si="16"/>
        <v>62795.212070842623</v>
      </c>
      <c r="O97" s="62">
        <f t="shared" si="12"/>
        <v>67879.578832797968</v>
      </c>
      <c r="Q97" s="62">
        <v>62361.153282519866</v>
      </c>
      <c r="R97" s="62">
        <v>66958.620036340653</v>
      </c>
    </row>
    <row r="98" spans="2:18" x14ac:dyDescent="0.25">
      <c r="B98" s="66">
        <f>'CO2 1990-2019'!C88</f>
        <v>1998</v>
      </c>
      <c r="C98" s="66">
        <f>'CO2 1990-2019'!D88</f>
        <v>40708.288352058022</v>
      </c>
      <c r="D98" s="66">
        <f>'CO2 1990-2019'!E88</f>
        <v>44870.123696327122</v>
      </c>
      <c r="E98" s="62">
        <f>'CH4 1990-2019'!D88</f>
        <v>611.31533375925756</v>
      </c>
      <c r="F98" s="62">
        <f>'CH4 1990-2019'!E88</f>
        <v>626.89098869315012</v>
      </c>
      <c r="G98" s="59">
        <f>'N2O 1990-2019'!D89</f>
        <v>28.785222808325479</v>
      </c>
      <c r="H98" s="59">
        <f>'N2O 1990-2019'!E89</f>
        <v>29.429943506676828</v>
      </c>
      <c r="I98" s="62">
        <f t="shared" si="13"/>
        <v>17116.829345259212</v>
      </c>
      <c r="J98" s="62">
        <f t="shared" si="14"/>
        <v>17552.947683408202</v>
      </c>
      <c r="K98" s="62">
        <f t="shared" si="15"/>
        <v>7628.0840442062517</v>
      </c>
      <c r="L98" s="62">
        <f t="shared" si="11"/>
        <v>7798.9350292693598</v>
      </c>
      <c r="M98" s="62">
        <f>'Other GHG 1990-2019'!H68</f>
        <v>373.29692450328292</v>
      </c>
      <c r="N98" s="62">
        <f t="shared" si="16"/>
        <v>65453.201741523488</v>
      </c>
      <c r="O98" s="62">
        <f t="shared" si="12"/>
        <v>70222.00640900468</v>
      </c>
      <c r="Q98" s="62">
        <v>64942.465017423739</v>
      </c>
      <c r="R98" s="62">
        <v>69312.521578645537</v>
      </c>
    </row>
    <row r="99" spans="2:18" x14ac:dyDescent="0.25">
      <c r="B99" s="66">
        <f>'CO2 1990-2019'!C89</f>
        <v>1999</v>
      </c>
      <c r="C99" s="66">
        <f>'CO2 1990-2019'!D89</f>
        <v>42439.518319338997</v>
      </c>
      <c r="D99" s="66">
        <f>'CO2 1990-2019'!E89</f>
        <v>46906.820617827238</v>
      </c>
      <c r="E99" s="62">
        <f>'CH4 1990-2019'!D89</f>
        <v>595.18707378904219</v>
      </c>
      <c r="F99" s="62">
        <f>'CH4 1990-2019'!E89</f>
        <v>609.85790475145336</v>
      </c>
      <c r="G99" s="59">
        <f>'N2O 1990-2019'!D90</f>
        <v>28.025519641190652</v>
      </c>
      <c r="H99" s="59">
        <f>'N2O 1990-2019'!E90</f>
        <v>28.645206014373741</v>
      </c>
      <c r="I99" s="62">
        <f t="shared" si="13"/>
        <v>16665.238066093181</v>
      </c>
      <c r="J99" s="62">
        <f t="shared" si="14"/>
        <v>17076.021333040695</v>
      </c>
      <c r="K99" s="62">
        <f t="shared" si="15"/>
        <v>7426.7627049155226</v>
      </c>
      <c r="L99" s="62">
        <f t="shared" si="11"/>
        <v>7590.979593809041</v>
      </c>
      <c r="M99" s="62">
        <f>'Other GHG 1990-2019'!H69</f>
        <v>532.06751613482925</v>
      </c>
      <c r="N99" s="62">
        <f t="shared" si="16"/>
        <v>66531.519090347705</v>
      </c>
      <c r="O99" s="62">
        <f t="shared" si="12"/>
        <v>71573.821544676975</v>
      </c>
      <c r="Q99" s="62">
        <v>66202.867533274693</v>
      </c>
      <c r="R99" s="62">
        <v>70689.539628897022</v>
      </c>
    </row>
    <row r="100" spans="2:18" x14ac:dyDescent="0.25">
      <c r="B100" s="66">
        <f>'CO2 1990-2019'!C90</f>
        <v>2000</v>
      </c>
      <c r="C100" s="66">
        <f>'CO2 1990-2019'!D90</f>
        <v>45248.508622670597</v>
      </c>
      <c r="D100" s="66">
        <f>'CO2 1990-2019'!E90</f>
        <v>51264.446064409647</v>
      </c>
      <c r="E100" s="62">
        <f>'CH4 1990-2019'!D90</f>
        <v>575.47620513670734</v>
      </c>
      <c r="F100" s="62">
        <f>'CH4 1990-2019'!E90</f>
        <v>592.81659514673379</v>
      </c>
      <c r="G100" s="59">
        <f>'N2O 1990-2019'!D91</f>
        <v>27.028988071858318</v>
      </c>
      <c r="H100" s="59">
        <f>'N2O 1990-2019'!E91</f>
        <v>27.71314943954696</v>
      </c>
      <c r="I100" s="62">
        <f t="shared" si="13"/>
        <v>16113.333743827805</v>
      </c>
      <c r="J100" s="62">
        <f t="shared" si="14"/>
        <v>16598.864664108547</v>
      </c>
      <c r="K100" s="62">
        <f t="shared" si="15"/>
        <v>7162.6818390424542</v>
      </c>
      <c r="L100" s="62">
        <f t="shared" si="11"/>
        <v>7343.9846014799441</v>
      </c>
      <c r="M100" s="62">
        <f>'Other GHG 1990-2019'!H70</f>
        <v>768.65767343138577</v>
      </c>
      <c r="N100" s="62">
        <f t="shared" si="16"/>
        <v>68524.52420554086</v>
      </c>
      <c r="O100" s="62">
        <f t="shared" si="12"/>
        <v>75207.295329998131</v>
      </c>
      <c r="Q100" s="62">
        <v>68458.709869933446</v>
      </c>
      <c r="R100" s="62">
        <v>74343.379476062983</v>
      </c>
    </row>
    <row r="101" spans="2:18" x14ac:dyDescent="0.25">
      <c r="B101" s="66">
        <f>'CO2 1990-2019'!C91</f>
        <v>2001</v>
      </c>
      <c r="C101" s="66">
        <f>'CO2 1990-2019'!D91</f>
        <v>47606.827382126554</v>
      </c>
      <c r="D101" s="66">
        <f>'CO2 1990-2019'!E91</f>
        <v>54663.990010623849</v>
      </c>
      <c r="E101" s="62">
        <f>'CH4 1990-2019'!D91</f>
        <v>580.79427796429343</v>
      </c>
      <c r="F101" s="62">
        <f>'CH4 1990-2019'!E91</f>
        <v>606.53930034350208</v>
      </c>
      <c r="G101" s="59">
        <f>'N2O 1990-2019'!D92</f>
        <v>25.435986433271712</v>
      </c>
      <c r="H101" s="59">
        <f>'N2O 1990-2019'!E92</f>
        <v>26.361520111669961</v>
      </c>
      <c r="I101" s="62">
        <f t="shared" si="13"/>
        <v>16262.239783000216</v>
      </c>
      <c r="J101" s="62">
        <f t="shared" si="14"/>
        <v>16983.100409618059</v>
      </c>
      <c r="K101" s="62">
        <f t="shared" si="15"/>
        <v>6740.5364048170031</v>
      </c>
      <c r="L101" s="62">
        <f t="shared" si="11"/>
        <v>6985.8028295925396</v>
      </c>
      <c r="M101" s="62">
        <f>'Other GHG 1990-2019'!H71</f>
        <v>780.59668108223207</v>
      </c>
      <c r="N101" s="62">
        <f t="shared" si="16"/>
        <v>70609.603569943778</v>
      </c>
      <c r="O101" s="62">
        <f t="shared" si="12"/>
        <v>78632.893249834451</v>
      </c>
      <c r="Q101" s="62">
        <v>70487.204969431099</v>
      </c>
      <c r="R101" s="62">
        <v>77683.205512489047</v>
      </c>
    </row>
    <row r="102" spans="2:18" x14ac:dyDescent="0.25">
      <c r="B102" s="66">
        <f>'CO2 1990-2019'!C92</f>
        <v>2002</v>
      </c>
      <c r="C102" s="66">
        <f>'CO2 1990-2019'!D92</f>
        <v>46080.800401874891</v>
      </c>
      <c r="D102" s="66">
        <f>'CO2 1990-2019'!E92</f>
        <v>53050.683185293026</v>
      </c>
      <c r="E102" s="62">
        <f>'CH4 1990-2019'!D92</f>
        <v>580.84791827242839</v>
      </c>
      <c r="F102" s="62">
        <f>'CH4 1990-2019'!E92</f>
        <v>595.84131612224076</v>
      </c>
      <c r="G102" s="59">
        <f>'N2O 1990-2019'!D93</f>
        <v>24.328622652529759</v>
      </c>
      <c r="H102" s="59">
        <f>'N2O 1990-2019'!E93</f>
        <v>25.205268301960501</v>
      </c>
      <c r="I102" s="62">
        <f t="shared" si="13"/>
        <v>16263.741711627994</v>
      </c>
      <c r="J102" s="62">
        <f t="shared" si="14"/>
        <v>16683.556851422742</v>
      </c>
      <c r="K102" s="62">
        <f t="shared" si="15"/>
        <v>6447.0850029203866</v>
      </c>
      <c r="L102" s="62">
        <f t="shared" si="11"/>
        <v>6679.3961000195332</v>
      </c>
      <c r="M102" s="62">
        <f>'Other GHG 1990-2019'!H72</f>
        <v>771.11792514883575</v>
      </c>
      <c r="N102" s="62">
        <f t="shared" si="16"/>
        <v>68791.627116423275</v>
      </c>
      <c r="O102" s="62">
        <f t="shared" si="12"/>
        <v>76413.636136735295</v>
      </c>
      <c r="Q102" s="62">
        <v>68623.045834288307</v>
      </c>
      <c r="R102" s="62">
        <v>75457.886042333281</v>
      </c>
    </row>
    <row r="103" spans="2:18" x14ac:dyDescent="0.25">
      <c r="B103" s="66">
        <f>'CO2 1990-2019'!C93</f>
        <v>2003</v>
      </c>
      <c r="C103" s="66">
        <f>'CO2 1990-2019'!D93</f>
        <v>45683.184848822799</v>
      </c>
      <c r="D103" s="66">
        <f>'CO2 1990-2019'!E93</f>
        <v>52911.204011821268</v>
      </c>
      <c r="E103" s="62">
        <f>'CH4 1990-2019'!D93</f>
        <v>608.49298450329536</v>
      </c>
      <c r="F103" s="62">
        <f>'CH4 1990-2019'!E93</f>
        <v>631.57718494877383</v>
      </c>
      <c r="G103" s="59">
        <f>'N2O 1990-2019'!D94</f>
        <v>24.000574683030742</v>
      </c>
      <c r="H103" s="59">
        <f>'N2O 1990-2019'!E94</f>
        <v>25.051707160096711</v>
      </c>
      <c r="I103" s="62">
        <f t="shared" si="13"/>
        <v>17037.803566092269</v>
      </c>
      <c r="J103" s="62">
        <f t="shared" si="14"/>
        <v>17684.161178565668</v>
      </c>
      <c r="K103" s="62">
        <f t="shared" si="15"/>
        <v>6360.1522910031463</v>
      </c>
      <c r="L103" s="62">
        <f t="shared" si="11"/>
        <v>6638.7023974256281</v>
      </c>
      <c r="M103" s="62">
        <f>'Other GHG 1990-2019'!H73</f>
        <v>985.09287096326318</v>
      </c>
      <c r="N103" s="62">
        <f t="shared" si="16"/>
        <v>69081.140705918209</v>
      </c>
      <c r="O103" s="62">
        <f t="shared" si="12"/>
        <v>77234.067587812562</v>
      </c>
      <c r="Q103" s="62">
        <v>69032.773587911608</v>
      </c>
      <c r="R103" s="62">
        <v>76166.042369249437</v>
      </c>
    </row>
    <row r="104" spans="2:18" x14ac:dyDescent="0.25">
      <c r="B104" s="66">
        <f>'CO2 1990-2019'!C94</f>
        <v>2004</v>
      </c>
      <c r="C104" s="66">
        <f>'CO2 1990-2019'!D94</f>
        <v>46165.841122470752</v>
      </c>
      <c r="D104" s="66">
        <f>'CO2 1990-2019'!E94</f>
        <v>51897.755100973896</v>
      </c>
      <c r="E104" s="62">
        <f>'CH4 1990-2019'!D94</f>
        <v>568.11240409998084</v>
      </c>
      <c r="F104" s="62">
        <f>'CH4 1990-2019'!E94</f>
        <v>586.70195261344884</v>
      </c>
      <c r="G104" s="59">
        <f>'N2O 1990-2019'!D95</f>
        <v>23.548027229707781</v>
      </c>
      <c r="H104" s="59">
        <f>'N2O 1990-2019'!E95</f>
        <v>24.4628018371635</v>
      </c>
      <c r="I104" s="62">
        <f t="shared" si="13"/>
        <v>15907.147314799464</v>
      </c>
      <c r="J104" s="62">
        <f t="shared" si="14"/>
        <v>16427.654673176567</v>
      </c>
      <c r="K104" s="62">
        <f t="shared" si="15"/>
        <v>6240.2272158725618</v>
      </c>
      <c r="L104" s="62">
        <f t="shared" si="11"/>
        <v>6482.6424868483273</v>
      </c>
      <c r="M104" s="62">
        <f>'Other GHG 1990-2019'!H74</f>
        <v>998.58388644343574</v>
      </c>
      <c r="N104" s="62">
        <f t="shared" si="16"/>
        <v>68313.215653142775</v>
      </c>
      <c r="O104" s="62">
        <f t="shared" si="12"/>
        <v>74808.052260998782</v>
      </c>
      <c r="Q104" s="62">
        <v>68384.547225866627</v>
      </c>
      <c r="R104" s="62">
        <v>73855.218863784845</v>
      </c>
    </row>
    <row r="105" spans="2:18" x14ac:dyDescent="0.25">
      <c r="B105" s="66">
        <f>'CO2 1990-2019'!C95</f>
        <v>2005</v>
      </c>
      <c r="C105" s="66">
        <f>'CO2 1990-2019'!D95</f>
        <v>48155.797022874547</v>
      </c>
      <c r="D105" s="66">
        <f>'CO2 1990-2019'!E95</f>
        <v>54595.608706100844</v>
      </c>
      <c r="E105" s="62">
        <f>'CH4 1990-2019'!D95</f>
        <v>560.78919930569657</v>
      </c>
      <c r="F105" s="62">
        <f>'CH4 1990-2019'!E95</f>
        <v>578.96199008081669</v>
      </c>
      <c r="G105" s="59">
        <f>'N2O 1990-2019'!D96</f>
        <v>23.12668938982824</v>
      </c>
      <c r="H105" s="59">
        <f>'N2O 1990-2019'!E96</f>
        <v>24.09014417670684</v>
      </c>
      <c r="I105" s="62">
        <f t="shared" si="13"/>
        <v>15702.097580559504</v>
      </c>
      <c r="J105" s="62">
        <f t="shared" si="14"/>
        <v>16210.935722262868</v>
      </c>
      <c r="K105" s="62">
        <f t="shared" si="15"/>
        <v>6128.5726883044836</v>
      </c>
      <c r="L105" s="62">
        <f t="shared" si="11"/>
        <v>6383.8882068273124</v>
      </c>
      <c r="M105" s="62">
        <f>'Other GHG 1990-2019'!H75</f>
        <v>1197.0598675525353</v>
      </c>
      <c r="N105" s="62">
        <f t="shared" si="16"/>
        <v>69986.467291738532</v>
      </c>
      <c r="O105" s="62">
        <f t="shared" si="12"/>
        <v>77190.432635191028</v>
      </c>
      <c r="Q105" s="62">
        <v>70264.340311238309</v>
      </c>
      <c r="R105" s="62">
        <v>76248.521422779973</v>
      </c>
    </row>
    <row r="106" spans="2:18" x14ac:dyDescent="0.25">
      <c r="B106" s="66">
        <f>'CO2 1990-2019'!C96</f>
        <v>2006</v>
      </c>
      <c r="C106" s="66">
        <f>'CO2 1990-2019'!D96</f>
        <v>47603.978825432525</v>
      </c>
      <c r="D106" s="66">
        <f>'CO2 1990-2019'!E96</f>
        <v>54461.539202046144</v>
      </c>
      <c r="E106" s="62">
        <f>'CH4 1990-2019'!D96</f>
        <v>566.24686059586668</v>
      </c>
      <c r="F106" s="62">
        <f>'CH4 1990-2019'!E96</f>
        <v>583.65900940295342</v>
      </c>
      <c r="G106" s="59">
        <f>'N2O 1990-2019'!D97</f>
        <v>22.420353635831589</v>
      </c>
      <c r="H106" s="59">
        <f>'N2O 1990-2019'!E97</f>
        <v>23.416369558615369</v>
      </c>
      <c r="I106" s="62">
        <f t="shared" si="13"/>
        <v>15854.912096684267</v>
      </c>
      <c r="J106" s="62">
        <f t="shared" si="14"/>
        <v>16342.452263282696</v>
      </c>
      <c r="K106" s="62">
        <f t="shared" si="15"/>
        <v>5941.3937134953712</v>
      </c>
      <c r="L106" s="62">
        <f t="shared" si="11"/>
        <v>6205.3379330330727</v>
      </c>
      <c r="M106" s="62">
        <f>'Other GHG 1990-2019'!H76</f>
        <v>1179.1683193959805</v>
      </c>
      <c r="N106" s="62">
        <f t="shared" si="16"/>
        <v>69400.284635612159</v>
      </c>
      <c r="O106" s="62">
        <f t="shared" si="12"/>
        <v>77009.329398361908</v>
      </c>
      <c r="Q106" s="62">
        <v>69620.58404320298</v>
      </c>
      <c r="R106" s="62">
        <v>76031.092565587387</v>
      </c>
    </row>
    <row r="107" spans="2:18" x14ac:dyDescent="0.25">
      <c r="B107" s="66">
        <f>'CO2 1990-2019'!C97</f>
        <v>2007</v>
      </c>
      <c r="C107" s="66">
        <f>'CO2 1990-2019'!D97</f>
        <v>47663.726602156494</v>
      </c>
      <c r="D107" s="66">
        <f>'CO2 1990-2019'!E97</f>
        <v>53746.045769965305</v>
      </c>
      <c r="E107" s="62">
        <f>'CH4 1990-2019'!D97</f>
        <v>532.82160214693306</v>
      </c>
      <c r="F107" s="62">
        <f>'CH4 1990-2019'!E97</f>
        <v>549.49163157015005</v>
      </c>
      <c r="G107" s="59">
        <f>'N2O 1990-2019'!D98</f>
        <v>21.585075135045329</v>
      </c>
      <c r="H107" s="59">
        <f>'N2O 1990-2019'!E98</f>
        <v>22.587866931128591</v>
      </c>
      <c r="I107" s="62">
        <f t="shared" si="13"/>
        <v>14919.004860114126</v>
      </c>
      <c r="J107" s="62">
        <f t="shared" si="14"/>
        <v>15385.7656839642</v>
      </c>
      <c r="K107" s="62">
        <f t="shared" si="15"/>
        <v>5720.0449107870127</v>
      </c>
      <c r="L107" s="62">
        <f t="shared" si="11"/>
        <v>5985.7847367490767</v>
      </c>
      <c r="M107" s="62">
        <f>'Other GHG 1990-2019'!H77</f>
        <v>1174.9491879213688</v>
      </c>
      <c r="N107" s="62">
        <f t="shared" si="16"/>
        <v>68302.776373057626</v>
      </c>
      <c r="O107" s="62">
        <f t="shared" si="12"/>
        <v>75117.596190678581</v>
      </c>
      <c r="Q107" s="62">
        <v>68591.568233994694</v>
      </c>
      <c r="R107" s="62">
        <v>74214.520904695426</v>
      </c>
    </row>
    <row r="108" spans="2:18" x14ac:dyDescent="0.25">
      <c r="B108" s="66">
        <f>'CO2 1990-2019'!C98</f>
        <v>2008</v>
      </c>
      <c r="C108" s="66">
        <f>'CO2 1990-2019'!D98</f>
        <v>47366.673677499894</v>
      </c>
      <c r="D108" s="66">
        <f>'CO2 1990-2019'!E98</f>
        <v>52681.581701576812</v>
      </c>
      <c r="E108" s="62">
        <f>'CH4 1990-2019'!D98</f>
        <v>527.62846756147042</v>
      </c>
      <c r="F108" s="62">
        <f>'CH4 1990-2019'!E98</f>
        <v>543.27868568762096</v>
      </c>
      <c r="G108" s="59">
        <f>'N2O 1990-2019'!D99</f>
        <v>21.432488555884671</v>
      </c>
      <c r="H108" s="59">
        <f>'N2O 1990-2019'!E99</f>
        <v>22.52824456889773</v>
      </c>
      <c r="I108" s="62">
        <f t="shared" si="13"/>
        <v>14773.597091721171</v>
      </c>
      <c r="J108" s="62">
        <f t="shared" si="14"/>
        <v>15211.803199253387</v>
      </c>
      <c r="K108" s="62">
        <f t="shared" si="15"/>
        <v>5679.6094673094376</v>
      </c>
      <c r="L108" s="62">
        <f t="shared" si="11"/>
        <v>5969.9848107578982</v>
      </c>
      <c r="M108" s="62">
        <f>'Other GHG 1990-2019'!H78</f>
        <v>1187.1902168798613</v>
      </c>
      <c r="N108" s="62">
        <f t="shared" si="16"/>
        <v>67819.880236530502</v>
      </c>
      <c r="O108" s="62">
        <f t="shared" si="12"/>
        <v>73863.369711588093</v>
      </c>
      <c r="Q108" s="62">
        <v>68131.457173070143</v>
      </c>
      <c r="R108" s="62">
        <v>72976.965725298927</v>
      </c>
    </row>
    <row r="109" spans="2:18" x14ac:dyDescent="0.25">
      <c r="B109" s="66">
        <f>'CO2 1990-2019'!C99</f>
        <v>2009</v>
      </c>
      <c r="C109" s="66">
        <f>'CO2 1990-2019'!D99</f>
        <v>42180.319124497575</v>
      </c>
      <c r="D109" s="66">
        <f>'CO2 1990-2019'!E99</f>
        <v>47163.320009204181</v>
      </c>
      <c r="E109" s="62">
        <f>'CH4 1990-2019'!D99</f>
        <v>513.08519096287603</v>
      </c>
      <c r="F109" s="62">
        <f>'CH4 1990-2019'!E99</f>
        <v>528.49395261365862</v>
      </c>
      <c r="G109" s="59">
        <f>'N2O 1990-2019'!D100</f>
        <v>20.797510721774628</v>
      </c>
      <c r="H109" s="59">
        <f>'N2O 1990-2019'!E100</f>
        <v>21.984221435495591</v>
      </c>
      <c r="I109" s="62">
        <f t="shared" si="13"/>
        <v>14366.385346960529</v>
      </c>
      <c r="J109" s="62">
        <f t="shared" si="14"/>
        <v>14797.830673182441</v>
      </c>
      <c r="K109" s="62">
        <f t="shared" si="15"/>
        <v>5511.3403412702764</v>
      </c>
      <c r="L109" s="62">
        <f t="shared" si="11"/>
        <v>5825.8186804063316</v>
      </c>
      <c r="M109" s="62">
        <f>'Other GHG 1990-2019'!H79</f>
        <v>1151.2673362398546</v>
      </c>
      <c r="N109" s="62">
        <f t="shared" si="16"/>
        <v>62058.044812728382</v>
      </c>
      <c r="O109" s="62">
        <f t="shared" si="12"/>
        <v>67786.969362792952</v>
      </c>
      <c r="Q109" s="62">
        <v>62356.374429898169</v>
      </c>
      <c r="R109" s="62">
        <v>66926.966812323357</v>
      </c>
    </row>
    <row r="110" spans="2:18" x14ac:dyDescent="0.25">
      <c r="B110" s="66">
        <f>'CO2 1990-2019'!C100</f>
        <v>2010</v>
      </c>
      <c r="C110" s="66">
        <f>'CO2 1990-2019'!D100</f>
        <v>41793.914554776813</v>
      </c>
      <c r="D110" s="66">
        <f>'CO2 1990-2019'!E100</f>
        <v>48004.538579802291</v>
      </c>
      <c r="E110" s="62">
        <f>'CH4 1990-2019'!D100</f>
        <v>503.06656688343463</v>
      </c>
      <c r="F110" s="62">
        <f>'CH4 1990-2019'!E100</f>
        <v>530.88913019285485</v>
      </c>
      <c r="G110" s="59">
        <f>'N2O 1990-2019'!D101</f>
        <v>21.647722213675969</v>
      </c>
      <c r="H110" s="59">
        <f>'N2O 1990-2019'!E101</f>
        <v>23.20500683157471</v>
      </c>
      <c r="I110" s="62">
        <f t="shared" si="13"/>
        <v>14085.86387273617</v>
      </c>
      <c r="J110" s="62">
        <f t="shared" si="14"/>
        <v>14864.895645399936</v>
      </c>
      <c r="K110" s="62">
        <f t="shared" si="15"/>
        <v>5736.646386624132</v>
      </c>
      <c r="L110" s="62">
        <f t="shared" si="11"/>
        <v>6149.3268103672981</v>
      </c>
      <c r="M110" s="62">
        <f>'Other GHG 1990-2019'!H80</f>
        <v>1127.8143458031184</v>
      </c>
      <c r="N110" s="62">
        <f t="shared" si="16"/>
        <v>61616.424814137114</v>
      </c>
      <c r="O110" s="62">
        <f t="shared" si="12"/>
        <v>69018.761035569521</v>
      </c>
      <c r="Q110" s="62">
        <v>61949.414292341236</v>
      </c>
      <c r="R110" s="62">
        <v>68191.858870432858</v>
      </c>
    </row>
    <row r="111" spans="2:18" x14ac:dyDescent="0.25">
      <c r="B111" s="66">
        <f>'CO2 1990-2019'!C101</f>
        <v>2011</v>
      </c>
      <c r="C111" s="66">
        <f>'CO2 1990-2019'!D101</f>
        <v>38097.298624554125</v>
      </c>
      <c r="D111" s="66">
        <f>'CO2 1990-2019'!E101</f>
        <v>43826.202337012073</v>
      </c>
      <c r="E111" s="62">
        <f>'CH4 1990-2019'!D101</f>
        <v>500.95395013232263</v>
      </c>
      <c r="F111" s="62">
        <f>'CH4 1990-2019'!E101</f>
        <v>520.67847685625952</v>
      </c>
      <c r="G111" s="59">
        <f>'N2O 1990-2019'!D102</f>
        <v>20.22418760038002</v>
      </c>
      <c r="H111" s="59">
        <f>'N2O 1990-2019'!E102</f>
        <v>21.5969237323845</v>
      </c>
      <c r="I111" s="62">
        <f t="shared" si="13"/>
        <v>14026.710603705034</v>
      </c>
      <c r="J111" s="62">
        <f t="shared" si="14"/>
        <v>14578.997351975268</v>
      </c>
      <c r="K111" s="62">
        <f t="shared" si="15"/>
        <v>5359.4097141007051</v>
      </c>
      <c r="L111" s="62">
        <f t="shared" si="11"/>
        <v>5723.1847890818926</v>
      </c>
      <c r="M111" s="62">
        <f>'Other GHG 1990-2019'!H81</f>
        <v>1145.6283164123583</v>
      </c>
      <c r="N111" s="62">
        <f t="shared" si="16"/>
        <v>57483.418942359865</v>
      </c>
      <c r="O111" s="62">
        <f t="shared" si="12"/>
        <v>64128.384478069231</v>
      </c>
      <c r="Q111" s="62">
        <v>57793.583599187798</v>
      </c>
      <c r="R111" s="62">
        <v>63279.047530669086</v>
      </c>
    </row>
    <row r="112" spans="2:18" x14ac:dyDescent="0.25">
      <c r="B112" s="66">
        <f>'CO2 1990-2019'!C102</f>
        <v>2012</v>
      </c>
      <c r="C112" s="66">
        <f>'CO2 1990-2019'!D102</f>
        <v>38241.974900988564</v>
      </c>
      <c r="D112" s="66">
        <f>'CO2 1990-2019'!E102</f>
        <v>43046.736237018362</v>
      </c>
      <c r="E112" s="62">
        <f>'CH4 1990-2019'!D102</f>
        <v>526.23077246577418</v>
      </c>
      <c r="F112" s="62">
        <f>'CH4 1990-2019'!E102</f>
        <v>541.22860081163014</v>
      </c>
      <c r="G112" s="59">
        <f>'N2O 1990-2019'!D103</f>
        <v>21.022444741768201</v>
      </c>
      <c r="H112" s="59">
        <f>'N2O 1990-2019'!E103</f>
        <v>22.350835962576291</v>
      </c>
      <c r="I112" s="62">
        <f t="shared" si="13"/>
        <v>14734.461629041678</v>
      </c>
      <c r="J112" s="62">
        <f t="shared" si="14"/>
        <v>15154.400822725644</v>
      </c>
      <c r="K112" s="62">
        <f t="shared" si="15"/>
        <v>5570.9478565685731</v>
      </c>
      <c r="L112" s="62">
        <f t="shared" si="11"/>
        <v>5922.9715300827174</v>
      </c>
      <c r="M112" s="62">
        <f>'Other GHG 1990-2019'!H82</f>
        <v>1122.7034051293324</v>
      </c>
      <c r="N112" s="62">
        <f t="shared" si="16"/>
        <v>58547.384386598816</v>
      </c>
      <c r="O112" s="62">
        <f t="shared" si="12"/>
        <v>64124.108589826719</v>
      </c>
      <c r="Q112" s="62">
        <v>58785.13615080918</v>
      </c>
      <c r="R112" s="62">
        <v>63238.000374156785</v>
      </c>
    </row>
    <row r="113" spans="2:18" x14ac:dyDescent="0.25">
      <c r="B113" s="66">
        <f>'CO2 1990-2019'!C103</f>
        <v>2013</v>
      </c>
      <c r="C113" s="66">
        <f>'CO2 1990-2019'!D103</f>
        <v>37291.76322414622</v>
      </c>
      <c r="D113" s="66">
        <f>'CO2 1990-2019'!E103</f>
        <v>42143.034779693044</v>
      </c>
      <c r="E113" s="62">
        <f>'CH4 1990-2019'!D103</f>
        <v>537.56478644797323</v>
      </c>
      <c r="F113" s="62">
        <f>'CH4 1990-2019'!E103</f>
        <v>555.63293823158551</v>
      </c>
      <c r="G113" s="59">
        <f>'N2O 1990-2019'!D104</f>
        <v>22.418122870701868</v>
      </c>
      <c r="H113" s="59">
        <f>'N2O 1990-2019'!E104</f>
        <v>23.861676615019551</v>
      </c>
      <c r="I113" s="62">
        <f t="shared" si="13"/>
        <v>15051.81402054325</v>
      </c>
      <c r="J113" s="62">
        <f t="shared" si="14"/>
        <v>15557.722270484395</v>
      </c>
      <c r="K113" s="62">
        <f t="shared" si="15"/>
        <v>5940.802560735995</v>
      </c>
      <c r="L113" s="62">
        <f t="shared" si="11"/>
        <v>6323.3443029801811</v>
      </c>
      <c r="M113" s="62">
        <f>'Other GHG 1990-2019'!H83</f>
        <v>1159.099763166636</v>
      </c>
      <c r="N113" s="62">
        <f t="shared" si="16"/>
        <v>58284.379805425466</v>
      </c>
      <c r="O113" s="62">
        <f t="shared" si="12"/>
        <v>64024.101353157617</v>
      </c>
      <c r="Q113" s="62">
        <v>58570.583263981345</v>
      </c>
      <c r="R113" s="62">
        <v>63144.63786675853</v>
      </c>
    </row>
    <row r="114" spans="2:18" x14ac:dyDescent="0.25">
      <c r="B114" s="66">
        <f>'CO2 1990-2019'!C104</f>
        <v>2014</v>
      </c>
      <c r="C114" s="66">
        <f>'CO2 1990-2019'!D104</f>
        <v>36909.012023474788</v>
      </c>
      <c r="D114" s="66">
        <f>'CO2 1990-2019'!E104</f>
        <v>43002.058721298985</v>
      </c>
      <c r="E114" s="62">
        <f>'CH4 1990-2019'!D104</f>
        <v>540.47905956105933</v>
      </c>
      <c r="F114" s="62">
        <f>'CH4 1990-2019'!E104</f>
        <v>564.69371673730473</v>
      </c>
      <c r="G114" s="59">
        <f>'N2O 1990-2019'!D105</f>
        <v>21.50888245953395</v>
      </c>
      <c r="H114" s="59">
        <f>'N2O 1990-2019'!E105</f>
        <v>23.087068532383508</v>
      </c>
      <c r="I114" s="62">
        <f t="shared" si="13"/>
        <v>15133.413667709661</v>
      </c>
      <c r="J114" s="62">
        <f t="shared" si="14"/>
        <v>15811.424068644532</v>
      </c>
      <c r="K114" s="62">
        <f t="shared" si="15"/>
        <v>5699.8538517764964</v>
      </c>
      <c r="L114" s="62">
        <f t="shared" si="11"/>
        <v>6118.0731610816301</v>
      </c>
      <c r="M114" s="62">
        <f>'Other GHG 1990-2019'!H84</f>
        <v>1231.9322752131577</v>
      </c>
      <c r="N114" s="62">
        <f t="shared" si="16"/>
        <v>57742.279542960947</v>
      </c>
      <c r="O114" s="62">
        <f t="shared" si="12"/>
        <v>64931.555951025148</v>
      </c>
      <c r="Q114" s="62">
        <v>58062.567760655547</v>
      </c>
      <c r="R114" s="62">
        <v>63999.34806238184</v>
      </c>
    </row>
    <row r="115" spans="2:18" x14ac:dyDescent="0.25">
      <c r="B115" s="66">
        <f>'CO2 1990-2019'!C105</f>
        <v>2015</v>
      </c>
      <c r="C115" s="66">
        <f>'CO2 1990-2019'!D105</f>
        <v>38687.772214867851</v>
      </c>
      <c r="D115" s="66">
        <f>'CO2 1990-2019'!E105</f>
        <v>44636.500221951239</v>
      </c>
      <c r="E115" s="62">
        <f>'CH4 1990-2019'!D105</f>
        <v>561.50377790161735</v>
      </c>
      <c r="F115" s="62">
        <f>'CH4 1990-2019'!E105</f>
        <v>579.12274054536715</v>
      </c>
      <c r="G115" s="59">
        <f>'N2O 1990-2019'!D106</f>
        <v>21.715255214738029</v>
      </c>
      <c r="H115" s="59">
        <f>'N2O 1990-2019'!E106</f>
        <v>23.139800195035772</v>
      </c>
      <c r="I115" s="62">
        <f t="shared" si="13"/>
        <v>15722.105781245285</v>
      </c>
      <c r="J115" s="62">
        <f t="shared" si="14"/>
        <v>16215.436735270279</v>
      </c>
      <c r="K115" s="62">
        <f t="shared" si="15"/>
        <v>5754.5426319055778</v>
      </c>
      <c r="L115" s="62">
        <f t="shared" si="11"/>
        <v>6132.0470516844798</v>
      </c>
      <c r="M115" s="62">
        <f>'Other GHG 1990-2019'!H85</f>
        <v>1235.4403249555714</v>
      </c>
      <c r="N115" s="62">
        <f t="shared" si="16"/>
        <v>60164.420628018714</v>
      </c>
      <c r="O115" s="62">
        <f t="shared" si="12"/>
        <v>66983.984008906002</v>
      </c>
      <c r="Q115" s="62">
        <v>60431.953041355788</v>
      </c>
      <c r="R115" s="62">
        <v>66010.229193706022</v>
      </c>
    </row>
    <row r="116" spans="2:18" x14ac:dyDescent="0.25">
      <c r="B116" s="66">
        <f>'CO2 1990-2019'!C106</f>
        <v>2016</v>
      </c>
      <c r="C116" s="66">
        <f>'CO2 1990-2019'!D106</f>
        <v>40155.799101114433</v>
      </c>
      <c r="D116" s="66">
        <f>'CO2 1990-2019'!E106</f>
        <v>45653.374656401349</v>
      </c>
      <c r="E116" s="62">
        <f>'CH4 1990-2019'!D106</f>
        <v>576.92369462688077</v>
      </c>
      <c r="F116" s="62">
        <f>'CH4 1990-2019'!E106</f>
        <v>593.26897730059022</v>
      </c>
      <c r="G116" s="59">
        <f>'N2O 1990-2019'!D107</f>
        <v>22.06613199022047</v>
      </c>
      <c r="H116" s="59">
        <f>'N2O 1990-2019'!E107</f>
        <v>23.40291895350531</v>
      </c>
      <c r="I116" s="62">
        <f t="shared" si="13"/>
        <v>16153.863449552662</v>
      </c>
      <c r="J116" s="62">
        <f t="shared" si="14"/>
        <v>16611.531364416525</v>
      </c>
      <c r="K116" s="62">
        <f t="shared" si="15"/>
        <v>5847.5249774084241</v>
      </c>
      <c r="L116" s="62">
        <f t="shared" si="11"/>
        <v>6201.7735226789073</v>
      </c>
      <c r="M116" s="62">
        <f>'Other GHG 1990-2019'!H86</f>
        <v>1320.5385326050266</v>
      </c>
      <c r="N116" s="62">
        <f t="shared" si="16"/>
        <v>62157.187528075519</v>
      </c>
      <c r="O116" s="62">
        <f t="shared" si="12"/>
        <v>68466.679543496779</v>
      </c>
      <c r="Q116" s="62">
        <v>62475.137332477178</v>
      </c>
      <c r="R116" s="62">
        <v>67459.168937060633</v>
      </c>
    </row>
    <row r="117" spans="2:18" x14ac:dyDescent="0.25">
      <c r="B117" s="66">
        <f>'CO2 1990-2019'!C107</f>
        <v>2017</v>
      </c>
      <c r="C117" s="66">
        <f>'CO2 1990-2019'!D107</f>
        <v>39133.421109227143</v>
      </c>
      <c r="D117" s="66">
        <f>'CO2 1990-2019'!E107</f>
        <v>45728.105317317953</v>
      </c>
      <c r="E117" s="62">
        <f>'CH4 1990-2019'!D107</f>
        <v>593.02042800180413</v>
      </c>
      <c r="F117" s="62">
        <f>'CH4 1990-2019'!E107</f>
        <v>620.03341514735052</v>
      </c>
      <c r="G117" s="59">
        <f>'N2O 1990-2019'!D108</f>
        <v>23.186606036351758</v>
      </c>
      <c r="H117" s="59">
        <f>'N2O 1990-2019'!E108</f>
        <v>24.736923302581051</v>
      </c>
      <c r="I117" s="62">
        <f t="shared" si="13"/>
        <v>16604.571984050515</v>
      </c>
      <c r="J117" s="62">
        <f t="shared" si="14"/>
        <v>17360.935624125814</v>
      </c>
      <c r="K117" s="62">
        <f t="shared" si="15"/>
        <v>6144.4505996332164</v>
      </c>
      <c r="L117" s="62">
        <f t="shared" si="11"/>
        <v>6555.2846751839788</v>
      </c>
      <c r="M117" s="62">
        <f>'Other GHG 1990-2019'!H87</f>
        <v>1246.3204739132752</v>
      </c>
      <c r="N117" s="62">
        <f t="shared" si="16"/>
        <v>61882.443692910878</v>
      </c>
      <c r="O117" s="62">
        <f t="shared" si="12"/>
        <v>69644.325616627742</v>
      </c>
      <c r="Q117" s="62">
        <v>62114.860882018344</v>
      </c>
      <c r="R117" s="62">
        <v>68600.543840170969</v>
      </c>
    </row>
    <row r="118" spans="2:18" x14ac:dyDescent="0.25">
      <c r="B118" s="66">
        <f>'CO2 1990-2019'!C108</f>
        <v>2018</v>
      </c>
      <c r="C118" s="66">
        <f>'CO2 1990-2019'!D108</f>
        <v>39195.154828332859</v>
      </c>
      <c r="D118" s="66">
        <f>'CO2 1990-2019'!E108</f>
        <v>44053.11996590261</v>
      </c>
      <c r="E118" s="62">
        <f>'CH4 1990-2019'!D108</f>
        <v>605.5734477899598</v>
      </c>
      <c r="F118" s="62">
        <f>'CH4 1990-2019'!E108</f>
        <v>623.98515281643699</v>
      </c>
      <c r="G118" s="59">
        <f>'N2O 1990-2019'!D109</f>
        <v>24.341991937086181</v>
      </c>
      <c r="H118" s="59">
        <f>'N2O 1990-2019'!E109</f>
        <v>25.702323908143718</v>
      </c>
      <c r="I118" s="62">
        <f t="shared" si="13"/>
        <v>16956.056538118875</v>
      </c>
      <c r="J118" s="62">
        <f t="shared" si="14"/>
        <v>17471.584278860235</v>
      </c>
      <c r="K118" s="62">
        <f t="shared" si="15"/>
        <v>6450.627863327838</v>
      </c>
      <c r="L118" s="62">
        <f t="shared" si="11"/>
        <v>6811.1158356580854</v>
      </c>
      <c r="M118" s="62">
        <f>'Other GHG 1990-2019'!H88</f>
        <v>937.60934934465604</v>
      </c>
      <c r="N118" s="62">
        <f t="shared" si="16"/>
        <v>62601.839229779573</v>
      </c>
      <c r="O118" s="62">
        <f t="shared" si="12"/>
        <v>68335.820080420934</v>
      </c>
      <c r="Q118" s="62">
        <v>62526.013969678192</v>
      </c>
      <c r="R118" s="62">
        <v>67312.041310940345</v>
      </c>
    </row>
    <row r="119" spans="2:18" x14ac:dyDescent="0.25">
      <c r="B119" s="66">
        <f>'CO2 1990-2019'!C109</f>
        <v>2019</v>
      </c>
      <c r="C119" s="66">
        <f>'CO2 1990-2019'!D109</f>
        <v>37275.318574990517</v>
      </c>
      <c r="D119" s="66">
        <f>'CO2 1990-2019'!E109</f>
        <v>41811.511644866623</v>
      </c>
      <c r="E119" s="62">
        <f>'CH4 1990-2019'!D109</f>
        <v>589.22091624152586</v>
      </c>
      <c r="F119" s="62">
        <f>'CH4 1990-2019'!E109</f>
        <v>606.22949802302605</v>
      </c>
      <c r="G119" s="59">
        <f>'N2O 1990-2019'!D110</f>
        <v>23.004457248979769</v>
      </c>
      <c r="H119" s="59">
        <f>'N2O 1990-2019'!E110</f>
        <v>24.338960161356191</v>
      </c>
      <c r="I119" s="62">
        <f t="shared" si="13"/>
        <v>16498.185654762725</v>
      </c>
      <c r="J119" s="62">
        <f t="shared" si="14"/>
        <v>16974.425944644729</v>
      </c>
      <c r="K119" s="62">
        <f t="shared" si="15"/>
        <v>6096.1811709796384</v>
      </c>
      <c r="L119" s="62">
        <f t="shared" si="11"/>
        <v>6449.8244427593909</v>
      </c>
      <c r="M119" s="62">
        <f>'Other GHG 1990-2019'!H89</f>
        <v>916.4698759914171</v>
      </c>
      <c r="N119" s="62">
        <f t="shared" si="16"/>
        <v>59869.68540073288</v>
      </c>
      <c r="O119" s="62">
        <f t="shared" si="12"/>
        <v>65235.762032270744</v>
      </c>
      <c r="Q119" s="62">
        <v>59777.639617216053</v>
      </c>
      <c r="R119" s="62">
        <v>64220.259223526271</v>
      </c>
    </row>
    <row r="120" spans="2:18" x14ac:dyDescent="0.25">
      <c r="B120" s="66"/>
      <c r="C120" s="66"/>
    </row>
    <row r="121" spans="2:18" x14ac:dyDescent="0.25">
      <c r="B121" s="66"/>
      <c r="C121" s="66"/>
    </row>
    <row r="122" spans="2:18" x14ac:dyDescent="0.25">
      <c r="B122" s="66"/>
      <c r="C122" s="66"/>
    </row>
    <row r="123" spans="2:18" x14ac:dyDescent="0.25">
      <c r="B123" s="66"/>
      <c r="C123" s="66"/>
    </row>
  </sheetData>
  <sheetProtection algorithmName="SHA-512" hashValue="/YPJHOu8E9xVpG+sXYf8Mke+CFwcXyvy+QyB4PSagsAPnUhF744BUhcVrvgaxVrxVquaNWaQ+1jopqd9ECAB3g==" saltValue="xJyYFOU1cCIcXJYaJmWsBg==" spinCount="100000" sheet="1" objects="1" scenarios="1"/>
  <mergeCells count="2">
    <mergeCell ref="B6:AH6"/>
    <mergeCell ref="A70:B7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16D3-7FC2-438E-8C0F-1A58EE9100EE}">
  <sheetPr>
    <tabColor rgb="FFFFC000"/>
  </sheetPr>
  <dimension ref="A1:C72"/>
  <sheetViews>
    <sheetView workbookViewId="0">
      <selection activeCell="C7" sqref="C7"/>
    </sheetView>
  </sheetViews>
  <sheetFormatPr defaultRowHeight="14.5" x14ac:dyDescent="0.35"/>
  <sheetData>
    <row r="1" spans="1:3" x14ac:dyDescent="0.35">
      <c r="A1" t="s">
        <v>277</v>
      </c>
      <c r="B1" t="s">
        <v>231</v>
      </c>
      <c r="C1">
        <f>(C3-C4)/10</f>
        <v>45.70412948125356</v>
      </c>
    </row>
    <row r="2" spans="1:3" x14ac:dyDescent="0.35">
      <c r="A2" t="s">
        <v>277</v>
      </c>
      <c r="B2" t="s">
        <v>247</v>
      </c>
      <c r="C2">
        <f>C4/20</f>
        <v>22.971429058944075</v>
      </c>
    </row>
    <row r="3" spans="1:3" x14ac:dyDescent="0.35">
      <c r="B3">
        <v>2020</v>
      </c>
      <c r="C3" s="102">
        <f>C39</f>
        <v>916.4698759914171</v>
      </c>
    </row>
    <row r="4" spans="1:3" x14ac:dyDescent="0.35">
      <c r="B4" t="s">
        <v>278</v>
      </c>
      <c r="C4">
        <f>C5*C7</f>
        <v>459.42858117888147</v>
      </c>
    </row>
    <row r="5" spans="1:3" x14ac:dyDescent="0.35">
      <c r="B5">
        <v>2018</v>
      </c>
      <c r="C5" s="102">
        <f>C37</f>
        <v>937.60934934465604</v>
      </c>
    </row>
    <row r="6" spans="1:3" x14ac:dyDescent="0.35">
      <c r="C6" s="3">
        <v>0.51</v>
      </c>
    </row>
    <row r="7" spans="1:3" x14ac:dyDescent="0.35">
      <c r="C7" s="3">
        <f>1-C6</f>
        <v>0.49</v>
      </c>
    </row>
    <row r="8" spans="1:3" x14ac:dyDescent="0.35">
      <c r="B8" t="s">
        <v>1</v>
      </c>
      <c r="C8" t="str">
        <f>'CO2 1990-2019'!F79</f>
        <v>F-Gases</v>
      </c>
    </row>
    <row r="9" spans="1:3" x14ac:dyDescent="0.35">
      <c r="B9" s="86">
        <f>'CO2 1990-2019'!C80</f>
        <v>1990</v>
      </c>
      <c r="C9" s="102">
        <f>'CO2 1990-2019'!F80</f>
        <v>34.591111871144001</v>
      </c>
    </row>
    <row r="10" spans="1:3" x14ac:dyDescent="0.35">
      <c r="B10" s="86">
        <f>'CO2 1990-2019'!C81</f>
        <v>1991</v>
      </c>
      <c r="C10" s="102">
        <f>'CO2 1990-2019'!F81</f>
        <v>49.500497452352</v>
      </c>
    </row>
    <row r="11" spans="1:3" x14ac:dyDescent="0.35">
      <c r="B11" s="86">
        <f>'CO2 1990-2019'!C82</f>
        <v>1992</v>
      </c>
      <c r="C11" s="102">
        <f>'CO2 1990-2019'!F82</f>
        <v>64.409697447944012</v>
      </c>
    </row>
    <row r="12" spans="1:3" x14ac:dyDescent="0.35">
      <c r="B12" s="86">
        <f>'CO2 1990-2019'!C83</f>
        <v>1993</v>
      </c>
      <c r="C12" s="102">
        <f>'CO2 1990-2019'!F83</f>
        <v>106.42517718178189</v>
      </c>
    </row>
    <row r="13" spans="1:3" x14ac:dyDescent="0.35">
      <c r="B13" s="86">
        <f>'CO2 1990-2019'!C84</f>
        <v>1994</v>
      </c>
      <c r="C13" s="102">
        <f>'CO2 1990-2019'!F84</f>
        <v>149.55114964672029</v>
      </c>
    </row>
    <row r="14" spans="1:3" x14ac:dyDescent="0.35">
      <c r="B14" s="86">
        <f>'CO2 1990-2019'!C85</f>
        <v>1995</v>
      </c>
      <c r="C14" s="102">
        <f>'CO2 1990-2019'!F85</f>
        <v>226.32569284465148</v>
      </c>
    </row>
    <row r="15" spans="1:3" x14ac:dyDescent="0.35">
      <c r="B15" s="86">
        <f>'CO2 1990-2019'!C86</f>
        <v>1996</v>
      </c>
      <c r="C15" s="102">
        <f>'CO2 1990-2019'!F86</f>
        <v>326.19440166357015</v>
      </c>
    </row>
    <row r="16" spans="1:3" x14ac:dyDescent="0.35">
      <c r="B16" s="86">
        <f>'CO2 1990-2019'!C87</f>
        <v>1997</v>
      </c>
      <c r="C16" s="102">
        <f>'CO2 1990-2019'!F87</f>
        <v>459.71553127872153</v>
      </c>
    </row>
    <row r="17" spans="2:3" x14ac:dyDescent="0.35">
      <c r="B17" s="86">
        <f>'CO2 1990-2019'!C88</f>
        <v>1998</v>
      </c>
      <c r="C17" s="102">
        <f>'CO2 1990-2019'!F88</f>
        <v>373.29692450328292</v>
      </c>
    </row>
    <row r="18" spans="2:3" x14ac:dyDescent="0.35">
      <c r="B18" s="86">
        <f>'CO2 1990-2019'!C89</f>
        <v>1999</v>
      </c>
      <c r="C18" s="102">
        <f>'CO2 1990-2019'!F89</f>
        <v>532.06751613482925</v>
      </c>
    </row>
    <row r="19" spans="2:3" x14ac:dyDescent="0.35">
      <c r="B19" s="86">
        <f>'CO2 1990-2019'!C90</f>
        <v>2000</v>
      </c>
      <c r="C19" s="102">
        <f>'CO2 1990-2019'!F90</f>
        <v>768.65767343138577</v>
      </c>
    </row>
    <row r="20" spans="2:3" x14ac:dyDescent="0.35">
      <c r="B20" s="86">
        <f>'CO2 1990-2019'!C91</f>
        <v>2001</v>
      </c>
      <c r="C20" s="102">
        <f>'CO2 1990-2019'!F91</f>
        <v>780.59668108223207</v>
      </c>
    </row>
    <row r="21" spans="2:3" x14ac:dyDescent="0.35">
      <c r="B21" s="86">
        <f>'CO2 1990-2019'!C92</f>
        <v>2002</v>
      </c>
      <c r="C21" s="102">
        <f>'CO2 1990-2019'!F92</f>
        <v>771.11792514883575</v>
      </c>
    </row>
    <row r="22" spans="2:3" x14ac:dyDescent="0.35">
      <c r="B22" s="86">
        <f>'CO2 1990-2019'!C93</f>
        <v>2003</v>
      </c>
      <c r="C22" s="102">
        <f>'CO2 1990-2019'!F93</f>
        <v>985.09287096326318</v>
      </c>
    </row>
    <row r="23" spans="2:3" x14ac:dyDescent="0.35">
      <c r="B23" s="86">
        <f>'CO2 1990-2019'!C94</f>
        <v>2004</v>
      </c>
      <c r="C23" s="102">
        <f>'CO2 1990-2019'!F94</f>
        <v>998.58388644343574</v>
      </c>
    </row>
    <row r="24" spans="2:3" x14ac:dyDescent="0.35">
      <c r="B24" s="86">
        <f>'CO2 1990-2019'!C95</f>
        <v>2005</v>
      </c>
      <c r="C24" s="102">
        <f>'CO2 1990-2019'!F95</f>
        <v>1197.0598675525353</v>
      </c>
    </row>
    <row r="25" spans="2:3" x14ac:dyDescent="0.35">
      <c r="B25" s="86">
        <f>'CO2 1990-2019'!C96</f>
        <v>2006</v>
      </c>
      <c r="C25" s="102">
        <f>'CO2 1990-2019'!F96</f>
        <v>1179.1683193959805</v>
      </c>
    </row>
    <row r="26" spans="2:3" x14ac:dyDescent="0.35">
      <c r="B26" s="86">
        <f>'CO2 1990-2019'!C97</f>
        <v>2007</v>
      </c>
      <c r="C26" s="102">
        <f>'CO2 1990-2019'!F97</f>
        <v>1174.9491879213688</v>
      </c>
    </row>
    <row r="27" spans="2:3" x14ac:dyDescent="0.35">
      <c r="B27" s="86">
        <f>'CO2 1990-2019'!C98</f>
        <v>2008</v>
      </c>
      <c r="C27" s="102">
        <f>'CO2 1990-2019'!F98</f>
        <v>1187.1902168798613</v>
      </c>
    </row>
    <row r="28" spans="2:3" x14ac:dyDescent="0.35">
      <c r="B28" s="86">
        <f>'CO2 1990-2019'!C99</f>
        <v>2009</v>
      </c>
      <c r="C28" s="102">
        <f>'CO2 1990-2019'!F99</f>
        <v>1151.2673362398546</v>
      </c>
    </row>
    <row r="29" spans="2:3" x14ac:dyDescent="0.35">
      <c r="B29" s="86">
        <f>'CO2 1990-2019'!C100</f>
        <v>2010</v>
      </c>
      <c r="C29" s="102">
        <f>'CO2 1990-2019'!F100</f>
        <v>1127.8143458031184</v>
      </c>
    </row>
    <row r="30" spans="2:3" x14ac:dyDescent="0.35">
      <c r="B30" s="86">
        <f>'CO2 1990-2019'!C101</f>
        <v>2011</v>
      </c>
      <c r="C30" s="102">
        <f>'CO2 1990-2019'!F101</f>
        <v>1145.6283164123583</v>
      </c>
    </row>
    <row r="31" spans="2:3" x14ac:dyDescent="0.35">
      <c r="B31" s="86">
        <f>'CO2 1990-2019'!C102</f>
        <v>2012</v>
      </c>
      <c r="C31" s="102">
        <f>'CO2 1990-2019'!F102</f>
        <v>1122.7034051293324</v>
      </c>
    </row>
    <row r="32" spans="2:3" x14ac:dyDescent="0.35">
      <c r="B32" s="86">
        <f>'CO2 1990-2019'!C103</f>
        <v>2013</v>
      </c>
      <c r="C32" s="102">
        <f>'CO2 1990-2019'!F103</f>
        <v>1159.099763166636</v>
      </c>
    </row>
    <row r="33" spans="2:3" x14ac:dyDescent="0.35">
      <c r="B33" s="86">
        <f>'CO2 1990-2019'!C104</f>
        <v>2014</v>
      </c>
      <c r="C33" s="102">
        <f>'CO2 1990-2019'!F104</f>
        <v>1231.9322752131577</v>
      </c>
    </row>
    <row r="34" spans="2:3" x14ac:dyDescent="0.35">
      <c r="B34" s="86">
        <f>'CO2 1990-2019'!C105</f>
        <v>2015</v>
      </c>
      <c r="C34" s="102">
        <f>'CO2 1990-2019'!F105</f>
        <v>1235.4403249555714</v>
      </c>
    </row>
    <row r="35" spans="2:3" x14ac:dyDescent="0.35">
      <c r="B35" s="86">
        <f>'CO2 1990-2019'!C106</f>
        <v>2016</v>
      </c>
      <c r="C35" s="102">
        <f>'CO2 1990-2019'!F106</f>
        <v>1320.5385326050266</v>
      </c>
    </row>
    <row r="36" spans="2:3" x14ac:dyDescent="0.35">
      <c r="B36" s="86">
        <f>'CO2 1990-2019'!C107</f>
        <v>2017</v>
      </c>
      <c r="C36" s="102">
        <f>'CO2 1990-2019'!F107</f>
        <v>1246.3204739132752</v>
      </c>
    </row>
    <row r="37" spans="2:3" x14ac:dyDescent="0.35">
      <c r="B37" s="86">
        <f>'CO2 1990-2019'!C108</f>
        <v>2018</v>
      </c>
      <c r="C37" s="102">
        <f>'CO2 1990-2019'!F108</f>
        <v>937.60934934465604</v>
      </c>
    </row>
    <row r="38" spans="2:3" x14ac:dyDescent="0.35">
      <c r="B38" s="86">
        <f>'CO2 1990-2019'!C109</f>
        <v>2019</v>
      </c>
      <c r="C38" s="102">
        <f>'CO2 1990-2019'!F109</f>
        <v>916.4698759914171</v>
      </c>
    </row>
    <row r="39" spans="2:3" x14ac:dyDescent="0.35">
      <c r="B39" s="86">
        <f>B38+1</f>
        <v>2020</v>
      </c>
      <c r="C39" s="102">
        <f>C38</f>
        <v>916.4698759914171</v>
      </c>
    </row>
    <row r="40" spans="2:3" x14ac:dyDescent="0.35">
      <c r="B40" s="86">
        <f t="shared" ref="B40:B69" si="0">B39+1</f>
        <v>2021</v>
      </c>
      <c r="C40" s="102">
        <f>C39-C$1</f>
        <v>870.76574651016358</v>
      </c>
    </row>
    <row r="41" spans="2:3" x14ac:dyDescent="0.35">
      <c r="B41" s="86">
        <f t="shared" si="0"/>
        <v>2022</v>
      </c>
      <c r="C41" s="102">
        <f t="shared" ref="C41:C49" si="1">C40-C$1</f>
        <v>825.06161702891006</v>
      </c>
    </row>
    <row r="42" spans="2:3" x14ac:dyDescent="0.35">
      <c r="B42" s="86">
        <f t="shared" si="0"/>
        <v>2023</v>
      </c>
      <c r="C42" s="102">
        <f t="shared" si="1"/>
        <v>779.35748754765655</v>
      </c>
    </row>
    <row r="43" spans="2:3" x14ac:dyDescent="0.35">
      <c r="B43" s="86">
        <f t="shared" si="0"/>
        <v>2024</v>
      </c>
      <c r="C43" s="102">
        <f t="shared" si="1"/>
        <v>733.65335806640303</v>
      </c>
    </row>
    <row r="44" spans="2:3" x14ac:dyDescent="0.35">
      <c r="B44" s="86">
        <f t="shared" si="0"/>
        <v>2025</v>
      </c>
      <c r="C44" s="102">
        <f t="shared" si="1"/>
        <v>687.94922858514951</v>
      </c>
    </row>
    <row r="45" spans="2:3" x14ac:dyDescent="0.35">
      <c r="B45" s="86">
        <f t="shared" si="0"/>
        <v>2026</v>
      </c>
      <c r="C45" s="102">
        <f t="shared" si="1"/>
        <v>642.245099103896</v>
      </c>
    </row>
    <row r="46" spans="2:3" x14ac:dyDescent="0.35">
      <c r="B46" s="86">
        <f t="shared" si="0"/>
        <v>2027</v>
      </c>
      <c r="C46" s="102">
        <f t="shared" si="1"/>
        <v>596.54096962264248</v>
      </c>
    </row>
    <row r="47" spans="2:3" x14ac:dyDescent="0.35">
      <c r="B47" s="86">
        <f t="shared" si="0"/>
        <v>2028</v>
      </c>
      <c r="C47" s="102">
        <f t="shared" si="1"/>
        <v>550.83684014138896</v>
      </c>
    </row>
    <row r="48" spans="2:3" x14ac:dyDescent="0.35">
      <c r="B48" s="86">
        <f t="shared" si="0"/>
        <v>2029</v>
      </c>
      <c r="C48" s="102">
        <f t="shared" si="1"/>
        <v>505.13271066013539</v>
      </c>
    </row>
    <row r="49" spans="2:3" x14ac:dyDescent="0.35">
      <c r="B49" s="86">
        <f t="shared" si="0"/>
        <v>2030</v>
      </c>
      <c r="C49" s="102">
        <f t="shared" si="1"/>
        <v>459.42858117888181</v>
      </c>
    </row>
    <row r="50" spans="2:3" x14ac:dyDescent="0.35">
      <c r="B50" s="86">
        <f t="shared" si="0"/>
        <v>2031</v>
      </c>
      <c r="C50" s="102">
        <f>C49-C$2</f>
        <v>436.45715211993775</v>
      </c>
    </row>
    <row r="51" spans="2:3" x14ac:dyDescent="0.35">
      <c r="B51" s="86">
        <f t="shared" si="0"/>
        <v>2032</v>
      </c>
      <c r="C51" s="102">
        <f t="shared" ref="C51:C69" si="2">C50-C$2</f>
        <v>413.48572306099368</v>
      </c>
    </row>
    <row r="52" spans="2:3" x14ac:dyDescent="0.35">
      <c r="B52" s="86">
        <f t="shared" si="0"/>
        <v>2033</v>
      </c>
      <c r="C52" s="102">
        <f t="shared" si="2"/>
        <v>390.51429400204961</v>
      </c>
    </row>
    <row r="53" spans="2:3" x14ac:dyDescent="0.35">
      <c r="B53" s="86">
        <f t="shared" si="0"/>
        <v>2034</v>
      </c>
      <c r="C53" s="102">
        <f t="shared" si="2"/>
        <v>367.54286494310554</v>
      </c>
    </row>
    <row r="54" spans="2:3" x14ac:dyDescent="0.35">
      <c r="B54" s="86">
        <f t="shared" si="0"/>
        <v>2035</v>
      </c>
      <c r="C54" s="102">
        <f t="shared" si="2"/>
        <v>344.57143588416147</v>
      </c>
    </row>
    <row r="55" spans="2:3" x14ac:dyDescent="0.35">
      <c r="B55" s="86">
        <f t="shared" si="0"/>
        <v>2036</v>
      </c>
      <c r="C55" s="102">
        <f t="shared" si="2"/>
        <v>321.60000682521741</v>
      </c>
    </row>
    <row r="56" spans="2:3" x14ac:dyDescent="0.35">
      <c r="B56" s="86">
        <f t="shared" si="0"/>
        <v>2037</v>
      </c>
      <c r="C56" s="102">
        <f t="shared" si="2"/>
        <v>298.62857776627334</v>
      </c>
    </row>
    <row r="57" spans="2:3" x14ac:dyDescent="0.35">
      <c r="B57" s="86">
        <f t="shared" si="0"/>
        <v>2038</v>
      </c>
      <c r="C57" s="102">
        <f t="shared" si="2"/>
        <v>275.65714870732927</v>
      </c>
    </row>
    <row r="58" spans="2:3" x14ac:dyDescent="0.35">
      <c r="B58" s="86">
        <f t="shared" si="0"/>
        <v>2039</v>
      </c>
      <c r="C58" s="102">
        <f t="shared" si="2"/>
        <v>252.6857196483852</v>
      </c>
    </row>
    <row r="59" spans="2:3" x14ac:dyDescent="0.35">
      <c r="B59" s="86">
        <f t="shared" si="0"/>
        <v>2040</v>
      </c>
      <c r="C59" s="102">
        <f t="shared" si="2"/>
        <v>229.71429058944113</v>
      </c>
    </row>
    <row r="60" spans="2:3" x14ac:dyDescent="0.35">
      <c r="B60" s="86">
        <f t="shared" si="0"/>
        <v>2041</v>
      </c>
      <c r="C60" s="102">
        <f t="shared" si="2"/>
        <v>206.74286153049707</v>
      </c>
    </row>
    <row r="61" spans="2:3" x14ac:dyDescent="0.35">
      <c r="B61" s="86">
        <f t="shared" si="0"/>
        <v>2042</v>
      </c>
      <c r="C61" s="102">
        <f t="shared" si="2"/>
        <v>183.771432471553</v>
      </c>
    </row>
    <row r="62" spans="2:3" x14ac:dyDescent="0.35">
      <c r="B62" s="86">
        <f t="shared" si="0"/>
        <v>2043</v>
      </c>
      <c r="C62" s="102">
        <f t="shared" si="2"/>
        <v>160.80000341260893</v>
      </c>
    </row>
    <row r="63" spans="2:3" x14ac:dyDescent="0.35">
      <c r="B63" s="86">
        <f t="shared" si="0"/>
        <v>2044</v>
      </c>
      <c r="C63" s="102">
        <f t="shared" si="2"/>
        <v>137.82857435366486</v>
      </c>
    </row>
    <row r="64" spans="2:3" x14ac:dyDescent="0.35">
      <c r="B64" s="86">
        <f t="shared" si="0"/>
        <v>2045</v>
      </c>
      <c r="C64" s="102">
        <f t="shared" si="2"/>
        <v>114.85714529472079</v>
      </c>
    </row>
    <row r="65" spans="2:3" x14ac:dyDescent="0.35">
      <c r="B65" s="86">
        <f t="shared" si="0"/>
        <v>2046</v>
      </c>
      <c r="C65" s="102">
        <f t="shared" si="2"/>
        <v>91.885716235776727</v>
      </c>
    </row>
    <row r="66" spans="2:3" x14ac:dyDescent="0.35">
      <c r="B66" s="86">
        <f t="shared" si="0"/>
        <v>2047</v>
      </c>
      <c r="C66" s="102">
        <f t="shared" si="2"/>
        <v>68.914287176832659</v>
      </c>
    </row>
    <row r="67" spans="2:3" x14ac:dyDescent="0.35">
      <c r="B67" s="86">
        <f t="shared" si="0"/>
        <v>2048</v>
      </c>
      <c r="C67" s="102">
        <f t="shared" si="2"/>
        <v>45.942858117888584</v>
      </c>
    </row>
    <row r="68" spans="2:3" x14ac:dyDescent="0.35">
      <c r="B68" s="86">
        <f t="shared" si="0"/>
        <v>2049</v>
      </c>
      <c r="C68" s="102">
        <f t="shared" si="2"/>
        <v>22.971429058944508</v>
      </c>
    </row>
    <row r="69" spans="2:3" x14ac:dyDescent="0.35">
      <c r="B69" s="86">
        <f t="shared" si="0"/>
        <v>2050</v>
      </c>
      <c r="C69" s="102">
        <f t="shared" si="2"/>
        <v>4.3343106881366111E-13</v>
      </c>
    </row>
    <row r="70" spans="2:3" x14ac:dyDescent="0.35">
      <c r="B70" s="86"/>
    </row>
    <row r="71" spans="2:3" x14ac:dyDescent="0.35">
      <c r="B71" s="86"/>
    </row>
    <row r="72" spans="2:3" x14ac:dyDescent="0.35">
      <c r="B72" s="86"/>
    </row>
  </sheetData>
  <sheetProtection algorithmName="SHA-512" hashValue="Od5ZF7DeQQadsJhbyMjZgQt/uofwR8Hz0Lc/KMdPlO1mGQNMICCXONNk34JBUNLW6Rfx3yWc7iEaD6nTJzWe0w==" saltValue="3sMhKvqy60V7iCNeOVLtt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C000"/>
  </sheetPr>
  <dimension ref="A1:AJ89"/>
  <sheetViews>
    <sheetView topLeftCell="A35" workbookViewId="0">
      <selection activeCell="E35" sqref="E35"/>
    </sheetView>
  </sheetViews>
  <sheetFormatPr defaultColWidth="8" defaultRowHeight="11.5" x14ac:dyDescent="0.25"/>
  <cols>
    <col min="1" max="1" width="11.453125" style="7" customWidth="1"/>
    <col min="2" max="2" width="16.7265625" style="7" customWidth="1"/>
    <col min="3" max="3" width="52.81640625" style="7" customWidth="1"/>
    <col min="4" max="35" width="15.7265625" style="7" customWidth="1"/>
    <col min="36" max="36" width="14.54296875" style="7" customWidth="1"/>
    <col min="37" max="37" width="15.54296875" style="7" customWidth="1"/>
    <col min="38" max="38" width="9" style="7" customWidth="1"/>
    <col min="39" max="40" width="9.1796875" style="7" customWidth="1"/>
    <col min="41" max="41" width="9.54296875" style="7" customWidth="1"/>
    <col min="42" max="44" width="8.7265625" style="7" customWidth="1"/>
    <col min="45" max="45" width="8.54296875" style="7" customWidth="1"/>
    <col min="46" max="46" width="8.7265625" style="7" customWidth="1"/>
    <col min="47" max="47" width="8.54296875" style="7" customWidth="1"/>
    <col min="48" max="48" width="9.54296875" style="7" customWidth="1"/>
    <col min="49" max="49" width="8.7265625" style="7" customWidth="1"/>
    <col min="50" max="50" width="9.1796875" style="7" customWidth="1"/>
    <col min="51" max="51" width="8.7265625" style="7" customWidth="1"/>
    <col min="52" max="52" width="9.7265625" style="7" customWidth="1"/>
    <col min="53" max="53" width="8.7265625" style="7" customWidth="1"/>
    <col min="54" max="54" width="9.81640625" style="7" customWidth="1"/>
    <col min="55" max="55" width="9" style="7" customWidth="1"/>
    <col min="56" max="56" width="9.1796875" style="7" customWidth="1"/>
    <col min="57" max="57" width="8.54296875" style="7" customWidth="1"/>
    <col min="58" max="16384" width="8" style="7"/>
  </cols>
  <sheetData>
    <row r="1" spans="1:36" ht="15" x14ac:dyDescent="0.25">
      <c r="C1" s="4" t="s">
        <v>11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 t="s">
        <v>12</v>
      </c>
    </row>
    <row r="2" spans="1:36" ht="18" x14ac:dyDescent="0.25">
      <c r="C2" s="4" t="s">
        <v>145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 t="s">
        <v>14</v>
      </c>
    </row>
    <row r="3" spans="1:36" ht="15" x14ac:dyDescent="0.25">
      <c r="C3" s="4" t="s">
        <v>146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 t="s">
        <v>16</v>
      </c>
    </row>
    <row r="4" spans="1:36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6" ht="23" x14ac:dyDescent="0.25">
      <c r="A5" s="7" t="s">
        <v>200</v>
      </c>
      <c r="B5" s="7" t="s">
        <v>188</v>
      </c>
      <c r="C5" s="220" t="s">
        <v>17</v>
      </c>
      <c r="D5" s="42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43" t="s">
        <v>49</v>
      </c>
      <c r="AJ5" s="31"/>
    </row>
    <row r="6" spans="1:36" ht="12" thickBot="1" x14ac:dyDescent="0.3">
      <c r="C6" s="221"/>
      <c r="D6" s="222" t="s">
        <v>126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44" t="s">
        <v>51</v>
      </c>
      <c r="AJ6" s="31"/>
    </row>
    <row r="7" spans="1:36" ht="14" thickTop="1" x14ac:dyDescent="0.25">
      <c r="C7" s="45" t="s">
        <v>147</v>
      </c>
      <c r="D7" s="14">
        <v>0.71177000000000001</v>
      </c>
      <c r="E7" s="14">
        <v>0.71177000000000001</v>
      </c>
      <c r="F7" s="14">
        <v>10.632197</v>
      </c>
      <c r="G7" s="14">
        <v>20.552624000000002</v>
      </c>
      <c r="H7" s="14">
        <v>53.52111446839789</v>
      </c>
      <c r="I7" s="14">
        <v>87.600279560596292</v>
      </c>
      <c r="J7" s="14">
        <v>142.83706212587947</v>
      </c>
      <c r="K7" s="14">
        <v>224.01225525207815</v>
      </c>
      <c r="L7" s="14">
        <v>327.48944566458158</v>
      </c>
      <c r="M7" s="14">
        <v>280.37029864603096</v>
      </c>
      <c r="N7" s="14">
        <v>464.09283137976121</v>
      </c>
      <c r="O7" s="14">
        <v>667.72642773994971</v>
      </c>
      <c r="P7" s="14">
        <v>694.19595006410805</v>
      </c>
      <c r="Q7" s="14">
        <v>660.06120115558383</v>
      </c>
      <c r="R7" s="14">
        <v>828.51481185229522</v>
      </c>
      <c r="S7" s="14">
        <v>915.17848206251983</v>
      </c>
      <c r="T7" s="14">
        <v>1071.9248497335871</v>
      </c>
      <c r="U7" s="14">
        <v>1090.7705341266483</v>
      </c>
      <c r="V7" s="14">
        <v>1074.3563488764328</v>
      </c>
      <c r="W7" s="14">
        <v>1132.5163552013132</v>
      </c>
      <c r="X7" s="14">
        <v>1112.0920640075346</v>
      </c>
      <c r="Y7" s="14">
        <v>1094.7224150205425</v>
      </c>
      <c r="Z7" s="14">
        <v>1100.1449485328224</v>
      </c>
      <c r="AA7" s="14">
        <v>1084.5100074559284</v>
      </c>
      <c r="AB7" s="14">
        <v>1114.647713565756</v>
      </c>
      <c r="AC7" s="14">
        <v>1193.5654881807777</v>
      </c>
      <c r="AD7" s="14">
        <v>1189.9919959692115</v>
      </c>
      <c r="AE7" s="14">
        <v>1280.2836969090986</v>
      </c>
      <c r="AF7" s="14">
        <v>1205.8466914330752</v>
      </c>
      <c r="AG7" s="14">
        <v>895.36973493643211</v>
      </c>
      <c r="AH7" s="14">
        <v>881.52056613668515</v>
      </c>
      <c r="AI7" s="14">
        <v>123749.07570376458</v>
      </c>
      <c r="AJ7" s="31"/>
    </row>
    <row r="8" spans="1:36" ht="13.5" x14ac:dyDescent="0.25">
      <c r="C8" s="46" t="s">
        <v>148</v>
      </c>
      <c r="D8" s="14">
        <v>0.59199999999999997</v>
      </c>
      <c r="E8" s="14">
        <v>0.59199999999999997</v>
      </c>
      <c r="F8" s="14">
        <v>0.76368000000000003</v>
      </c>
      <c r="G8" s="14">
        <v>0.93535999999999997</v>
      </c>
      <c r="H8" s="14">
        <v>14.40635646839789</v>
      </c>
      <c r="I8" s="14">
        <v>28.98802756059629</v>
      </c>
      <c r="J8" s="14">
        <v>45.229822125879473</v>
      </c>
      <c r="K8" s="14">
        <v>90.723395252078163</v>
      </c>
      <c r="L8" s="14">
        <v>158.47720566458159</v>
      </c>
      <c r="M8" s="14">
        <v>201.15329864603095</v>
      </c>
      <c r="N8" s="14">
        <v>209.2704503797612</v>
      </c>
      <c r="O8" s="14">
        <v>269.97009773994972</v>
      </c>
      <c r="P8" s="14">
        <v>314.68196006410801</v>
      </c>
      <c r="Q8" s="14">
        <v>392.16631115558386</v>
      </c>
      <c r="R8" s="14">
        <v>542.56423905229531</v>
      </c>
      <c r="S8" s="14">
        <v>680.36502206251987</v>
      </c>
      <c r="T8" s="14">
        <v>855.53981973358714</v>
      </c>
      <c r="U8" s="14">
        <v>899.8137941266483</v>
      </c>
      <c r="V8" s="14">
        <v>906.2561488764328</v>
      </c>
      <c r="W8" s="14">
        <v>996.38009520131322</v>
      </c>
      <c r="X8" s="14">
        <v>1028.4593140075347</v>
      </c>
      <c r="Y8" s="14">
        <v>1048.1386150205426</v>
      </c>
      <c r="Z8" s="14">
        <v>1084.2691485328223</v>
      </c>
      <c r="AA8" s="14">
        <v>1074.9509496781507</v>
      </c>
      <c r="AB8" s="14">
        <v>1106.3233580102003</v>
      </c>
      <c r="AC8" s="14">
        <v>1190.0028780797675</v>
      </c>
      <c r="AD8" s="14">
        <v>1169.4946313227467</v>
      </c>
      <c r="AE8" s="14">
        <v>1242.9267714545531</v>
      </c>
      <c r="AF8" s="14">
        <v>1158.6512845643883</v>
      </c>
      <c r="AG8" s="14">
        <v>845.51083705764427</v>
      </c>
      <c r="AH8" s="14">
        <v>818.46879371244279</v>
      </c>
      <c r="AI8" s="14">
        <v>138154.86380277749</v>
      </c>
      <c r="AJ8" s="31"/>
    </row>
    <row r="9" spans="1:36" x14ac:dyDescent="0.25">
      <c r="A9" s="7">
        <v>14800</v>
      </c>
      <c r="B9" s="7">
        <v>12400</v>
      </c>
      <c r="C9" s="47" t="s">
        <v>149</v>
      </c>
      <c r="D9" s="18">
        <v>4.0000000000000003E-5</v>
      </c>
      <c r="E9" s="18">
        <v>4.0000000000000003E-5</v>
      </c>
      <c r="F9" s="18">
        <v>5.1600000000000001E-5</v>
      </c>
      <c r="G9" s="18">
        <v>6.3200000000000005E-5</v>
      </c>
      <c r="H9" s="18">
        <v>8.6399999999999999E-5</v>
      </c>
      <c r="I9" s="18">
        <v>1.0959999999999999E-4</v>
      </c>
      <c r="J9" s="18">
        <v>1.56E-4</v>
      </c>
      <c r="K9" s="18">
        <v>2.5099999999999998E-4</v>
      </c>
      <c r="L9" s="18">
        <v>3.7599999999999998E-4</v>
      </c>
      <c r="M9" s="18">
        <v>2.9999999999999997E-4</v>
      </c>
      <c r="N9" s="18">
        <v>7.7030000000000002E-4</v>
      </c>
      <c r="O9" s="18">
        <v>1.35528695798E-3</v>
      </c>
      <c r="P9" s="18">
        <v>2.7161588254999999E-4</v>
      </c>
      <c r="Q9" s="18">
        <v>1.684694691E-4</v>
      </c>
      <c r="R9" s="18">
        <v>2.3609068698000001E-4</v>
      </c>
      <c r="S9" s="18">
        <v>1.2406853621E-4</v>
      </c>
      <c r="T9" s="18">
        <v>1.9533441676999999E-4</v>
      </c>
      <c r="U9" s="18">
        <v>2.7657043257000002E-4</v>
      </c>
      <c r="V9" s="18">
        <v>2.9707376536999998E-4</v>
      </c>
      <c r="W9" s="18">
        <v>3.1042657496000001E-4</v>
      </c>
      <c r="X9" s="18">
        <v>2.6067985442000002E-4</v>
      </c>
      <c r="Y9" s="18">
        <v>2.8554133943999998E-4</v>
      </c>
      <c r="Z9" s="18">
        <v>2.1054612259999999E-4</v>
      </c>
      <c r="AA9" s="18">
        <v>1.9375918317E-4</v>
      </c>
      <c r="AB9" s="18">
        <v>2.2933782251E-4</v>
      </c>
      <c r="AC9" s="18">
        <v>8.836503004E-5</v>
      </c>
      <c r="AD9" s="18">
        <v>2.6037917456999998E-4</v>
      </c>
      <c r="AE9" s="19">
        <v>1.1780343775E-4</v>
      </c>
      <c r="AF9" s="19">
        <v>2.0124288213000001E-4</v>
      </c>
      <c r="AG9" s="19">
        <v>3.9701976915999999E-4</v>
      </c>
      <c r="AH9" s="19">
        <v>3.7522890848999999E-4</v>
      </c>
      <c r="AI9" s="18">
        <v>838.072271229075</v>
      </c>
      <c r="AJ9" s="31"/>
    </row>
    <row r="10" spans="1:36" x14ac:dyDescent="0.25">
      <c r="A10" s="7">
        <v>675</v>
      </c>
      <c r="B10" s="7">
        <v>677</v>
      </c>
      <c r="C10" s="47" t="s">
        <v>150</v>
      </c>
      <c r="D10" s="18" t="s">
        <v>65</v>
      </c>
      <c r="E10" s="18" t="s">
        <v>65</v>
      </c>
      <c r="F10" s="18" t="s">
        <v>65</v>
      </c>
      <c r="G10" s="18" t="s">
        <v>65</v>
      </c>
      <c r="H10" s="18" t="s">
        <v>65</v>
      </c>
      <c r="I10" s="18" t="s">
        <v>65</v>
      </c>
      <c r="J10" s="18" t="s">
        <v>65</v>
      </c>
      <c r="K10" s="18" t="s">
        <v>65</v>
      </c>
      <c r="L10" s="18" t="s">
        <v>65</v>
      </c>
      <c r="M10" s="18">
        <v>8.2800000000000003E-6</v>
      </c>
      <c r="N10" s="18">
        <v>2.6708375809E-4</v>
      </c>
      <c r="O10" s="18">
        <v>2.3408664941599999E-3</v>
      </c>
      <c r="P10" s="18">
        <v>3.6614406797799998E-3</v>
      </c>
      <c r="Q10" s="18">
        <v>6.0238473908399998E-3</v>
      </c>
      <c r="R10" s="18">
        <v>8.3300463329999998E-3</v>
      </c>
      <c r="S10" s="18">
        <v>1.0880671956429999E-2</v>
      </c>
      <c r="T10" s="18">
        <v>1.489779894252E-2</v>
      </c>
      <c r="U10" s="18">
        <v>2.2218361117080001E-2</v>
      </c>
      <c r="V10" s="18">
        <v>1.9136238869780001E-2</v>
      </c>
      <c r="W10" s="18">
        <v>2.238856524518E-2</v>
      </c>
      <c r="X10" s="18">
        <v>2.4198302585070001E-2</v>
      </c>
      <c r="Y10" s="18">
        <v>2.3170640386670001E-2</v>
      </c>
      <c r="Z10" s="18">
        <v>2.111698535898E-2</v>
      </c>
      <c r="AA10" s="18">
        <v>2.2099523364020001E-2</v>
      </c>
      <c r="AB10" s="18">
        <v>2.5717927450019998E-2</v>
      </c>
      <c r="AC10" s="18">
        <v>3.5055007225389997E-2</v>
      </c>
      <c r="AD10" s="18">
        <v>4.0974624559980001E-2</v>
      </c>
      <c r="AE10" s="19">
        <v>5.0512218265110001E-2</v>
      </c>
      <c r="AF10" s="19">
        <v>6.0928187552899998E-2</v>
      </c>
      <c r="AG10" s="19">
        <v>6.400173291505E-2</v>
      </c>
      <c r="AH10" s="19">
        <v>6.0550818104899998E-2</v>
      </c>
      <c r="AI10" s="18">
        <v>100</v>
      </c>
      <c r="AJ10" s="31"/>
    </row>
    <row r="11" spans="1:36" x14ac:dyDescent="0.25">
      <c r="A11" s="7">
        <v>150</v>
      </c>
      <c r="B11" s="7">
        <v>116</v>
      </c>
      <c r="C11" s="47" t="s">
        <v>151</v>
      </c>
      <c r="D11" s="18" t="s">
        <v>65</v>
      </c>
      <c r="E11" s="18" t="s">
        <v>65</v>
      </c>
      <c r="F11" s="18" t="s">
        <v>65</v>
      </c>
      <c r="G11" s="18" t="s">
        <v>65</v>
      </c>
      <c r="H11" s="18" t="s">
        <v>65</v>
      </c>
      <c r="I11" s="18" t="s">
        <v>65</v>
      </c>
      <c r="J11" s="18" t="s">
        <v>65</v>
      </c>
      <c r="K11" s="18" t="s">
        <v>65</v>
      </c>
      <c r="L11" s="18" t="s">
        <v>65</v>
      </c>
      <c r="M11" s="18" t="s">
        <v>65</v>
      </c>
      <c r="N11" s="18" t="s">
        <v>65</v>
      </c>
      <c r="O11" s="18" t="s">
        <v>65</v>
      </c>
      <c r="P11" s="18" t="s">
        <v>65</v>
      </c>
      <c r="Q11" s="18" t="s">
        <v>65</v>
      </c>
      <c r="R11" s="18" t="s">
        <v>65</v>
      </c>
      <c r="S11" s="18" t="s">
        <v>65</v>
      </c>
      <c r="T11" s="18" t="s">
        <v>65</v>
      </c>
      <c r="U11" s="18" t="s">
        <v>65</v>
      </c>
      <c r="V11" s="18" t="s">
        <v>65</v>
      </c>
      <c r="W11" s="18" t="s">
        <v>65</v>
      </c>
      <c r="X11" s="18" t="s">
        <v>65</v>
      </c>
      <c r="Y11" s="18" t="s">
        <v>65</v>
      </c>
      <c r="Z11" s="18" t="s">
        <v>65</v>
      </c>
      <c r="AA11" s="18" t="s">
        <v>65</v>
      </c>
      <c r="AB11" s="18" t="s">
        <v>65</v>
      </c>
      <c r="AC11" s="18" t="s">
        <v>65</v>
      </c>
      <c r="AD11" s="18" t="s">
        <v>65</v>
      </c>
      <c r="AE11" s="19" t="s">
        <v>65</v>
      </c>
      <c r="AF11" s="19" t="s">
        <v>65</v>
      </c>
      <c r="AG11" s="19" t="s">
        <v>65</v>
      </c>
      <c r="AH11" s="19" t="s">
        <v>65</v>
      </c>
      <c r="AI11" s="18">
        <v>0</v>
      </c>
      <c r="AJ11" s="31"/>
    </row>
    <row r="12" spans="1:36" x14ac:dyDescent="0.25">
      <c r="A12" s="7">
        <v>756</v>
      </c>
      <c r="B12" s="7">
        <v>523</v>
      </c>
      <c r="C12" s="47" t="s">
        <v>152</v>
      </c>
      <c r="D12" s="18" t="s">
        <v>65</v>
      </c>
      <c r="E12" s="18" t="s">
        <v>65</v>
      </c>
      <c r="F12" s="18" t="s">
        <v>65</v>
      </c>
      <c r="G12" s="18" t="s">
        <v>65</v>
      </c>
      <c r="H12" s="18" t="s">
        <v>65</v>
      </c>
      <c r="I12" s="18" t="s">
        <v>65</v>
      </c>
      <c r="J12" s="18" t="s">
        <v>65</v>
      </c>
      <c r="K12" s="18" t="s">
        <v>65</v>
      </c>
      <c r="L12" s="18" t="s">
        <v>65</v>
      </c>
      <c r="M12" s="18" t="s">
        <v>65</v>
      </c>
      <c r="N12" s="18" t="s">
        <v>65</v>
      </c>
      <c r="O12" s="18" t="s">
        <v>65</v>
      </c>
      <c r="P12" s="18" t="s">
        <v>65</v>
      </c>
      <c r="Q12" s="18" t="s">
        <v>65</v>
      </c>
      <c r="R12" s="18" t="s">
        <v>65</v>
      </c>
      <c r="S12" s="18" t="s">
        <v>65</v>
      </c>
      <c r="T12" s="18" t="s">
        <v>65</v>
      </c>
      <c r="U12" s="18" t="s">
        <v>65</v>
      </c>
      <c r="V12" s="18" t="s">
        <v>65</v>
      </c>
      <c r="W12" s="18" t="s">
        <v>65</v>
      </c>
      <c r="X12" s="18" t="s">
        <v>65</v>
      </c>
      <c r="Y12" s="18" t="s">
        <v>65</v>
      </c>
      <c r="Z12" s="18" t="s">
        <v>65</v>
      </c>
      <c r="AA12" s="18" t="s">
        <v>65</v>
      </c>
      <c r="AB12" s="18" t="s">
        <v>65</v>
      </c>
      <c r="AC12" s="18" t="s">
        <v>65</v>
      </c>
      <c r="AD12" s="18" t="s">
        <v>65</v>
      </c>
      <c r="AE12" s="19" t="s">
        <v>65</v>
      </c>
      <c r="AF12" s="19" t="s">
        <v>65</v>
      </c>
      <c r="AG12" s="19" t="s">
        <v>65</v>
      </c>
      <c r="AH12" s="19" t="s">
        <v>65</v>
      </c>
      <c r="AI12" s="18">
        <v>0</v>
      </c>
      <c r="AJ12" s="31"/>
    </row>
    <row r="13" spans="1:36" x14ac:dyDescent="0.25">
      <c r="A13" s="7">
        <v>3500</v>
      </c>
      <c r="B13" s="7">
        <v>3170</v>
      </c>
      <c r="C13" s="47" t="s">
        <v>153</v>
      </c>
      <c r="D13" s="18" t="s">
        <v>65</v>
      </c>
      <c r="E13" s="18" t="s">
        <v>65</v>
      </c>
      <c r="F13" s="18" t="s">
        <v>65</v>
      </c>
      <c r="G13" s="18" t="s">
        <v>65</v>
      </c>
      <c r="H13" s="18" t="s">
        <v>65</v>
      </c>
      <c r="I13" s="18" t="s">
        <v>65</v>
      </c>
      <c r="J13" s="18" t="s">
        <v>65</v>
      </c>
      <c r="K13" s="18" t="s">
        <v>65</v>
      </c>
      <c r="L13" s="18">
        <v>2.0592000000000001E-4</v>
      </c>
      <c r="M13" s="18">
        <v>2.4659999999999998E-4</v>
      </c>
      <c r="N13" s="18">
        <v>1.3113997840000001E-3</v>
      </c>
      <c r="O13" s="18">
        <v>5.7304601325199999E-3</v>
      </c>
      <c r="P13" s="18">
        <v>1.2833052239299999E-2</v>
      </c>
      <c r="Q13" s="18">
        <v>2.1343164514020001E-2</v>
      </c>
      <c r="R13" s="18">
        <v>3.401649025148E-2</v>
      </c>
      <c r="S13" s="18">
        <v>5.0431599870410002E-2</v>
      </c>
      <c r="T13" s="18">
        <v>6.5631343406999998E-2</v>
      </c>
      <c r="U13" s="18">
        <v>7.1794268587580007E-2</v>
      </c>
      <c r="V13" s="18">
        <v>7.0714841658929994E-2</v>
      </c>
      <c r="W13" s="18">
        <v>7.8570583444940001E-2</v>
      </c>
      <c r="X13" s="18">
        <v>8.1920328019860003E-2</v>
      </c>
      <c r="Y13" s="18">
        <v>8.2787710261220004E-2</v>
      </c>
      <c r="Z13" s="18">
        <v>8.2660057675200002E-2</v>
      </c>
      <c r="AA13" s="18">
        <v>8.2876333337999999E-2</v>
      </c>
      <c r="AB13" s="18">
        <v>8.8869709288610002E-2</v>
      </c>
      <c r="AC13" s="18">
        <v>0.10231056888734</v>
      </c>
      <c r="AD13" s="18">
        <v>0.10687926381538</v>
      </c>
      <c r="AE13" s="19">
        <v>0.11866921633051</v>
      </c>
      <c r="AF13" s="19">
        <v>0.11589203545967</v>
      </c>
      <c r="AG13" s="19">
        <v>8.3397480529029996E-2</v>
      </c>
      <c r="AH13" s="19">
        <v>8.0564723589300002E-2</v>
      </c>
      <c r="AI13" s="18">
        <v>100</v>
      </c>
      <c r="AJ13" s="31"/>
    </row>
    <row r="14" spans="1:36" x14ac:dyDescent="0.25">
      <c r="A14" s="7">
        <v>100</v>
      </c>
      <c r="B14" s="7">
        <v>1120</v>
      </c>
      <c r="C14" s="47" t="s">
        <v>154</v>
      </c>
      <c r="D14" s="18" t="s">
        <v>65</v>
      </c>
      <c r="E14" s="18" t="s">
        <v>65</v>
      </c>
      <c r="F14" s="18" t="s">
        <v>65</v>
      </c>
      <c r="G14" s="18" t="s">
        <v>65</v>
      </c>
      <c r="H14" s="18" t="s">
        <v>65</v>
      </c>
      <c r="I14" s="18" t="s">
        <v>65</v>
      </c>
      <c r="J14" s="18" t="s">
        <v>65</v>
      </c>
      <c r="K14" s="18" t="s">
        <v>65</v>
      </c>
      <c r="L14" s="18" t="s">
        <v>65</v>
      </c>
      <c r="M14" s="18" t="s">
        <v>65</v>
      </c>
      <c r="N14" s="18" t="s">
        <v>65</v>
      </c>
      <c r="O14" s="18" t="s">
        <v>65</v>
      </c>
      <c r="P14" s="18" t="s">
        <v>65</v>
      </c>
      <c r="Q14" s="18" t="s">
        <v>65</v>
      </c>
      <c r="R14" s="18" t="s">
        <v>65</v>
      </c>
      <c r="S14" s="18" t="s">
        <v>65</v>
      </c>
      <c r="T14" s="18" t="s">
        <v>65</v>
      </c>
      <c r="U14" s="18" t="s">
        <v>65</v>
      </c>
      <c r="V14" s="18" t="s">
        <v>65</v>
      </c>
      <c r="W14" s="18" t="s">
        <v>65</v>
      </c>
      <c r="X14" s="18" t="s">
        <v>65</v>
      </c>
      <c r="Y14" s="18" t="s">
        <v>65</v>
      </c>
      <c r="Z14" s="18" t="s">
        <v>65</v>
      </c>
      <c r="AA14" s="18" t="s">
        <v>65</v>
      </c>
      <c r="AB14" s="18" t="s">
        <v>65</v>
      </c>
      <c r="AC14" s="18" t="s">
        <v>65</v>
      </c>
      <c r="AD14" s="18" t="s">
        <v>65</v>
      </c>
      <c r="AE14" s="19" t="s">
        <v>65</v>
      </c>
      <c r="AF14" s="19" t="s">
        <v>65</v>
      </c>
      <c r="AG14" s="19" t="s">
        <v>65</v>
      </c>
      <c r="AH14" s="19" t="s">
        <v>65</v>
      </c>
      <c r="AI14" s="18">
        <v>0</v>
      </c>
      <c r="AJ14" s="31"/>
    </row>
    <row r="15" spans="1:36" x14ac:dyDescent="0.25">
      <c r="A15" s="7">
        <v>1430</v>
      </c>
      <c r="B15" s="7">
        <v>1300</v>
      </c>
      <c r="C15" s="47" t="s">
        <v>155</v>
      </c>
      <c r="D15" s="18" t="s">
        <v>65</v>
      </c>
      <c r="E15" s="18" t="s">
        <v>65</v>
      </c>
      <c r="F15" s="18" t="s">
        <v>65</v>
      </c>
      <c r="G15" s="18" t="s">
        <v>65</v>
      </c>
      <c r="H15" s="18">
        <v>9.09594845183E-3</v>
      </c>
      <c r="I15" s="18">
        <v>1.8968467695990001E-2</v>
      </c>
      <c r="J15" s="18">
        <v>2.976148180461E-2</v>
      </c>
      <c r="K15" s="18">
        <v>5.7061599547999997E-2</v>
      </c>
      <c r="L15" s="18">
        <v>9.8191849822189994E-2</v>
      </c>
      <c r="M15" s="18">
        <v>0.12735463545787001</v>
      </c>
      <c r="N15" s="18">
        <v>0.1225349156162</v>
      </c>
      <c r="O15" s="18">
        <v>0.13950850119932001</v>
      </c>
      <c r="P15" s="18">
        <v>0.14131352743684</v>
      </c>
      <c r="Q15" s="18">
        <v>0.15281090520099999</v>
      </c>
      <c r="R15" s="18">
        <v>0.18618597651249</v>
      </c>
      <c r="S15" s="18">
        <v>0.19638129080198999</v>
      </c>
      <c r="T15" s="18">
        <v>0.23621448380096</v>
      </c>
      <c r="U15" s="18">
        <v>0.24612126551658001</v>
      </c>
      <c r="V15" s="18">
        <v>0.24633130634173001</v>
      </c>
      <c r="W15" s="18">
        <v>0.27159166525113998</v>
      </c>
      <c r="X15" s="18">
        <v>0.28245974968816001</v>
      </c>
      <c r="Y15" s="18">
        <v>0.28792114579944</v>
      </c>
      <c r="Z15" s="18">
        <v>0.29929248600580999</v>
      </c>
      <c r="AA15" s="18">
        <v>0.29423864342226003</v>
      </c>
      <c r="AB15" s="18">
        <v>0.29386997565590001</v>
      </c>
      <c r="AC15" s="18">
        <v>0.30498919162867</v>
      </c>
      <c r="AD15" s="18">
        <v>0.28798486091087</v>
      </c>
      <c r="AE15" s="19">
        <v>0.29480393714092001</v>
      </c>
      <c r="AF15" s="19">
        <v>0.29098404308310999</v>
      </c>
      <c r="AG15" s="19">
        <v>0.26602135922567</v>
      </c>
      <c r="AH15" s="19">
        <v>0.23804848625371999</v>
      </c>
      <c r="AI15" s="18">
        <v>100</v>
      </c>
      <c r="AJ15" s="31"/>
    </row>
    <row r="16" spans="1:36" x14ac:dyDescent="0.25">
      <c r="A16" s="7">
        <v>300</v>
      </c>
      <c r="B16" s="7">
        <v>328</v>
      </c>
      <c r="C16" s="47" t="s">
        <v>156</v>
      </c>
      <c r="D16" s="18" t="s">
        <v>65</v>
      </c>
      <c r="E16" s="18" t="s">
        <v>65</v>
      </c>
      <c r="F16" s="18" t="s">
        <v>65</v>
      </c>
      <c r="G16" s="18" t="s">
        <v>65</v>
      </c>
      <c r="H16" s="18" t="s">
        <v>65</v>
      </c>
      <c r="I16" s="18" t="s">
        <v>65</v>
      </c>
      <c r="J16" s="18" t="s">
        <v>65</v>
      </c>
      <c r="K16" s="18" t="s">
        <v>65</v>
      </c>
      <c r="L16" s="18" t="s">
        <v>65</v>
      </c>
      <c r="M16" s="18" t="s">
        <v>65</v>
      </c>
      <c r="N16" s="18" t="s">
        <v>65</v>
      </c>
      <c r="O16" s="18" t="s">
        <v>65</v>
      </c>
      <c r="P16" s="18" t="s">
        <v>65</v>
      </c>
      <c r="Q16" s="18" t="s">
        <v>65</v>
      </c>
      <c r="R16" s="18" t="s">
        <v>65</v>
      </c>
      <c r="S16" s="18" t="s">
        <v>65</v>
      </c>
      <c r="T16" s="18" t="s">
        <v>65</v>
      </c>
      <c r="U16" s="18" t="s">
        <v>65</v>
      </c>
      <c r="V16" s="18" t="s">
        <v>65</v>
      </c>
      <c r="W16" s="18" t="s">
        <v>65</v>
      </c>
      <c r="X16" s="18" t="s">
        <v>65</v>
      </c>
      <c r="Y16" s="18" t="s">
        <v>65</v>
      </c>
      <c r="Z16" s="18" t="s">
        <v>65</v>
      </c>
      <c r="AA16" s="18" t="s">
        <v>65</v>
      </c>
      <c r="AB16" s="18" t="s">
        <v>65</v>
      </c>
      <c r="AC16" s="18" t="s">
        <v>65</v>
      </c>
      <c r="AD16" s="18" t="s">
        <v>65</v>
      </c>
      <c r="AE16" s="19" t="s">
        <v>65</v>
      </c>
      <c r="AF16" s="19" t="s">
        <v>65</v>
      </c>
      <c r="AG16" s="19" t="s">
        <v>65</v>
      </c>
      <c r="AH16" s="19" t="s">
        <v>65</v>
      </c>
      <c r="AI16" s="18">
        <v>0</v>
      </c>
      <c r="AJ16" s="31"/>
    </row>
    <row r="17" spans="1:36" x14ac:dyDescent="0.25">
      <c r="A17" s="7">
        <v>4470</v>
      </c>
      <c r="B17" s="7">
        <v>4800</v>
      </c>
      <c r="C17" s="47" t="s">
        <v>157</v>
      </c>
      <c r="D17" s="18" t="s">
        <v>65</v>
      </c>
      <c r="E17" s="18" t="s">
        <v>65</v>
      </c>
      <c r="F17" s="18" t="s">
        <v>65</v>
      </c>
      <c r="G17" s="18" t="s">
        <v>65</v>
      </c>
      <c r="H17" s="18" t="s">
        <v>65</v>
      </c>
      <c r="I17" s="18" t="s">
        <v>65</v>
      </c>
      <c r="J17" s="18" t="s">
        <v>65</v>
      </c>
      <c r="K17" s="18" t="s">
        <v>65</v>
      </c>
      <c r="L17" s="18">
        <v>2.4336E-4</v>
      </c>
      <c r="M17" s="18">
        <v>2.8079999999999999E-4</v>
      </c>
      <c r="N17" s="18">
        <v>9.2748177104000004E-4</v>
      </c>
      <c r="O17" s="18">
        <v>3.01126575128E-3</v>
      </c>
      <c r="P17" s="18">
        <v>9.9071092602400004E-3</v>
      </c>
      <c r="Q17" s="18">
        <v>1.6562796224639999E-2</v>
      </c>
      <c r="R17" s="18">
        <v>2.8681982815420001E-2</v>
      </c>
      <c r="S17" s="18">
        <v>4.306016871539E-2</v>
      </c>
      <c r="T17" s="18">
        <v>5.6394681168929997E-2</v>
      </c>
      <c r="U17" s="18">
        <v>5.6584033136499998E-2</v>
      </c>
      <c r="V17" s="18">
        <v>5.8874399424010002E-2</v>
      </c>
      <c r="W17" s="18">
        <v>6.3907804656739994E-2</v>
      </c>
      <c r="X17" s="18">
        <v>6.4580435521509993E-2</v>
      </c>
      <c r="Y17" s="18">
        <v>6.3787523206160004E-2</v>
      </c>
      <c r="Z17" s="18">
        <v>6.88695604702E-2</v>
      </c>
      <c r="AA17" s="18">
        <v>6.8134383237750007E-2</v>
      </c>
      <c r="AB17" s="18">
        <v>6.9912582964540004E-2</v>
      </c>
      <c r="AC17" s="18">
        <v>7.3605766577199999E-2</v>
      </c>
      <c r="AD17" s="18">
        <v>6.941030895835E-2</v>
      </c>
      <c r="AE17" s="19">
        <v>7.3424137603469997E-2</v>
      </c>
      <c r="AF17" s="19">
        <v>5.6083908652909999E-2</v>
      </c>
      <c r="AG17" s="19">
        <v>1.8332457377390001E-2</v>
      </c>
      <c r="AH17" s="19">
        <v>2.4021931515179999E-2</v>
      </c>
      <c r="AI17" s="18">
        <v>100</v>
      </c>
      <c r="AJ17" s="31"/>
    </row>
    <row r="18" spans="1:36" x14ac:dyDescent="0.25">
      <c r="B18" s="7">
        <v>16</v>
      </c>
      <c r="C18" s="47" t="s">
        <v>158</v>
      </c>
      <c r="D18" s="18" t="s">
        <v>65</v>
      </c>
      <c r="E18" s="18" t="s">
        <v>65</v>
      </c>
      <c r="F18" s="18" t="s">
        <v>65</v>
      </c>
      <c r="G18" s="18" t="s">
        <v>65</v>
      </c>
      <c r="H18" s="18" t="s">
        <v>65</v>
      </c>
      <c r="I18" s="18" t="s">
        <v>65</v>
      </c>
      <c r="J18" s="18" t="s">
        <v>65</v>
      </c>
      <c r="K18" s="18" t="s">
        <v>65</v>
      </c>
      <c r="L18" s="18" t="s">
        <v>65</v>
      </c>
      <c r="M18" s="18" t="s">
        <v>65</v>
      </c>
      <c r="N18" s="18" t="s">
        <v>65</v>
      </c>
      <c r="O18" s="18" t="s">
        <v>65</v>
      </c>
      <c r="P18" s="18" t="s">
        <v>65</v>
      </c>
      <c r="Q18" s="18" t="s">
        <v>65</v>
      </c>
      <c r="R18" s="18" t="s">
        <v>65</v>
      </c>
      <c r="S18" s="18" t="s">
        <v>65</v>
      </c>
      <c r="T18" s="18" t="s">
        <v>65</v>
      </c>
      <c r="U18" s="18" t="s">
        <v>65</v>
      </c>
      <c r="V18" s="18" t="s">
        <v>65</v>
      </c>
      <c r="W18" s="18" t="s">
        <v>65</v>
      </c>
      <c r="X18" s="18" t="s">
        <v>65</v>
      </c>
      <c r="Y18" s="18" t="s">
        <v>65</v>
      </c>
      <c r="Z18" s="18" t="s">
        <v>65</v>
      </c>
      <c r="AA18" s="18" t="s">
        <v>65</v>
      </c>
      <c r="AB18" s="18" t="s">
        <v>65</v>
      </c>
      <c r="AC18" s="18" t="s">
        <v>65</v>
      </c>
      <c r="AD18" s="18" t="s">
        <v>65</v>
      </c>
      <c r="AE18" s="19" t="s">
        <v>65</v>
      </c>
      <c r="AF18" s="19" t="s">
        <v>65</v>
      </c>
      <c r="AG18" s="19" t="s">
        <v>65</v>
      </c>
      <c r="AH18" s="19" t="s">
        <v>65</v>
      </c>
      <c r="AI18" s="18">
        <v>0</v>
      </c>
      <c r="AJ18" s="31"/>
    </row>
    <row r="19" spans="1:36" x14ac:dyDescent="0.25">
      <c r="C19" s="47" t="s">
        <v>159</v>
      </c>
      <c r="D19" s="18" t="s">
        <v>65</v>
      </c>
      <c r="E19" s="18" t="s">
        <v>65</v>
      </c>
      <c r="F19" s="18" t="s">
        <v>65</v>
      </c>
      <c r="G19" s="18" t="s">
        <v>65</v>
      </c>
      <c r="H19" s="18">
        <v>9.7121114742999999E-4</v>
      </c>
      <c r="I19" s="18">
        <v>1.94386093011E-3</v>
      </c>
      <c r="J19" s="18">
        <v>2.9201866555599999E-3</v>
      </c>
      <c r="K19" s="18">
        <v>3.8218593634200002E-3</v>
      </c>
      <c r="L19" s="18">
        <v>6.41149281845E-3</v>
      </c>
      <c r="M19" s="18">
        <v>8.38104368815E-3</v>
      </c>
      <c r="N19" s="18">
        <v>6.2242896824000003E-3</v>
      </c>
      <c r="O19" s="18">
        <v>6.7909560494100003E-3</v>
      </c>
      <c r="P19" s="18">
        <v>7.3712000707699997E-3</v>
      </c>
      <c r="Q19" s="18">
        <v>6.64377309307E-3</v>
      </c>
      <c r="R19" s="18">
        <v>7.16873309268E-3</v>
      </c>
      <c r="S19" s="18">
        <v>6.6297265029599999E-3</v>
      </c>
      <c r="T19" s="18">
        <v>7.6835842580599998E-3</v>
      </c>
      <c r="U19" s="18">
        <v>7.8171274659499992E-3</v>
      </c>
      <c r="V19" s="18">
        <v>6.9350496925899997E-3</v>
      </c>
      <c r="W19" s="18">
        <v>7.3347795686599998E-3</v>
      </c>
      <c r="X19" s="18">
        <v>6.2065354456500004E-3</v>
      </c>
      <c r="Y19" s="18">
        <v>5.4001552610100003E-3</v>
      </c>
      <c r="Z19" s="18">
        <v>5.7333450725999997E-3</v>
      </c>
      <c r="AA19" s="18">
        <v>5.5670285810700002E-3</v>
      </c>
      <c r="AB19" s="18">
        <v>5.3511811026399998E-3</v>
      </c>
      <c r="AC19" s="18">
        <v>5.1399742715999997E-3</v>
      </c>
      <c r="AD19" s="18">
        <v>4.9388976812299997E-3</v>
      </c>
      <c r="AE19" s="19">
        <v>4.8392879453800003E-3</v>
      </c>
      <c r="AF19" s="19">
        <v>4.8110898096699996E-3</v>
      </c>
      <c r="AG19" s="19">
        <v>4.8664174432399999E-3</v>
      </c>
      <c r="AH19" s="19">
        <v>4.4624457906900002E-3</v>
      </c>
      <c r="AI19" s="18">
        <v>100</v>
      </c>
      <c r="AJ19" s="31"/>
    </row>
    <row r="20" spans="1:36" x14ac:dyDescent="0.25">
      <c r="C20" s="47" t="s">
        <v>160</v>
      </c>
      <c r="D20" s="18" t="s">
        <v>65</v>
      </c>
      <c r="E20" s="18" t="s">
        <v>65</v>
      </c>
      <c r="F20" s="18" t="s">
        <v>65</v>
      </c>
      <c r="G20" s="18" t="s">
        <v>65</v>
      </c>
      <c r="H20" s="18" t="s">
        <v>65</v>
      </c>
      <c r="I20" s="18" t="s">
        <v>65</v>
      </c>
      <c r="J20" s="18" t="s">
        <v>65</v>
      </c>
      <c r="K20" s="18" t="s">
        <v>65</v>
      </c>
      <c r="L20" s="18" t="s">
        <v>65</v>
      </c>
      <c r="M20" s="18" t="s">
        <v>65</v>
      </c>
      <c r="N20" s="18" t="s">
        <v>65</v>
      </c>
      <c r="O20" s="18" t="s">
        <v>65</v>
      </c>
      <c r="P20" s="18" t="s">
        <v>65</v>
      </c>
      <c r="Q20" s="18" t="s">
        <v>65</v>
      </c>
      <c r="R20" s="18" t="s">
        <v>65</v>
      </c>
      <c r="S20" s="18" t="s">
        <v>65</v>
      </c>
      <c r="T20" s="18" t="s">
        <v>65</v>
      </c>
      <c r="U20" s="18" t="s">
        <v>65</v>
      </c>
      <c r="V20" s="18" t="s">
        <v>65</v>
      </c>
      <c r="W20" s="18" t="s">
        <v>65</v>
      </c>
      <c r="X20" s="18" t="s">
        <v>65</v>
      </c>
      <c r="Y20" s="18" t="s">
        <v>65</v>
      </c>
      <c r="Z20" s="18" t="s">
        <v>65</v>
      </c>
      <c r="AA20" s="18" t="s">
        <v>65</v>
      </c>
      <c r="AB20" s="18" t="s">
        <v>65</v>
      </c>
      <c r="AC20" s="18" t="s">
        <v>65</v>
      </c>
      <c r="AD20" s="18" t="s">
        <v>65</v>
      </c>
      <c r="AE20" s="19" t="s">
        <v>65</v>
      </c>
      <c r="AF20" s="19" t="s">
        <v>65</v>
      </c>
      <c r="AG20" s="19" t="s">
        <v>65</v>
      </c>
      <c r="AH20" s="19" t="s">
        <v>65</v>
      </c>
      <c r="AI20" s="18">
        <v>0</v>
      </c>
      <c r="AJ20" s="31"/>
    </row>
    <row r="21" spans="1:36" x14ac:dyDescent="0.25">
      <c r="C21" s="47" t="s">
        <v>161</v>
      </c>
      <c r="D21" s="18" t="s">
        <v>65</v>
      </c>
      <c r="E21" s="18" t="s">
        <v>65</v>
      </c>
      <c r="F21" s="18" t="s">
        <v>65</v>
      </c>
      <c r="G21" s="18" t="s">
        <v>65</v>
      </c>
      <c r="H21" s="18" t="s">
        <v>65</v>
      </c>
      <c r="I21" s="18" t="s">
        <v>65</v>
      </c>
      <c r="J21" s="18" t="s">
        <v>65</v>
      </c>
      <c r="K21" s="18">
        <v>1.53310476316E-3</v>
      </c>
      <c r="L21" s="18">
        <v>3.0728248786799999E-3</v>
      </c>
      <c r="M21" s="18">
        <v>3.5506383614800001E-3</v>
      </c>
      <c r="N21" s="18">
        <v>4.0239890778600001E-3</v>
      </c>
      <c r="O21" s="18">
        <v>4.4955162239300002E-3</v>
      </c>
      <c r="P21" s="18">
        <v>4.9682416985300003E-3</v>
      </c>
      <c r="Q21" s="18">
        <v>5.4430648447000001E-3</v>
      </c>
      <c r="R21" s="18">
        <v>5.9149898225699998E-3</v>
      </c>
      <c r="S21" s="18">
        <v>6.3812014032899999E-3</v>
      </c>
      <c r="T21" s="18">
        <v>6.8507618155699999E-3</v>
      </c>
      <c r="U21" s="18">
        <v>7.3260423289999996E-3</v>
      </c>
      <c r="V21" s="18">
        <v>7.8131274688600007E-3</v>
      </c>
      <c r="W21" s="18">
        <v>8.2990613362800003E-3</v>
      </c>
      <c r="X21" s="18">
        <v>8.7529970860799992E-3</v>
      </c>
      <c r="Y21" s="18">
        <v>1.2729300790219999E-2</v>
      </c>
      <c r="Z21" s="18">
        <v>1.27462030617E-2</v>
      </c>
      <c r="AA21" s="18">
        <v>1.275984599467E-2</v>
      </c>
      <c r="AB21" s="18">
        <v>1.276978795095E-2</v>
      </c>
      <c r="AC21" s="18">
        <v>1.2781452550819999E-2</v>
      </c>
      <c r="AD21" s="18">
        <v>1.279840656785E-2</v>
      </c>
      <c r="AE21" s="19">
        <v>1.284772645524E-2</v>
      </c>
      <c r="AF21" s="19">
        <v>1.289609030375E-2</v>
      </c>
      <c r="AG21" s="19">
        <v>1.2913828873359999E-2</v>
      </c>
      <c r="AH21" s="19">
        <v>1.295849645643E-2</v>
      </c>
      <c r="AI21" s="18">
        <v>100</v>
      </c>
      <c r="AJ21" s="31"/>
    </row>
    <row r="22" spans="1:36" x14ac:dyDescent="0.25">
      <c r="C22" s="47" t="s">
        <v>162</v>
      </c>
      <c r="D22" s="18" t="s">
        <v>65</v>
      </c>
      <c r="E22" s="18" t="s">
        <v>65</v>
      </c>
      <c r="F22" s="18" t="s">
        <v>65</v>
      </c>
      <c r="G22" s="18" t="s">
        <v>65</v>
      </c>
      <c r="H22" s="18" t="s">
        <v>65</v>
      </c>
      <c r="I22" s="18" t="s">
        <v>65</v>
      </c>
      <c r="J22" s="18" t="s">
        <v>65</v>
      </c>
      <c r="K22" s="18" t="s">
        <v>65</v>
      </c>
      <c r="L22" s="18" t="s">
        <v>65</v>
      </c>
      <c r="M22" s="18" t="s">
        <v>65</v>
      </c>
      <c r="N22" s="18" t="s">
        <v>65</v>
      </c>
      <c r="O22" s="18" t="s">
        <v>65</v>
      </c>
      <c r="P22" s="18" t="s">
        <v>65</v>
      </c>
      <c r="Q22" s="18" t="s">
        <v>65</v>
      </c>
      <c r="R22" s="18" t="s">
        <v>65</v>
      </c>
      <c r="S22" s="18" t="s">
        <v>65</v>
      </c>
      <c r="T22" s="18" t="s">
        <v>65</v>
      </c>
      <c r="U22" s="18" t="s">
        <v>65</v>
      </c>
      <c r="V22" s="18" t="s">
        <v>65</v>
      </c>
      <c r="W22" s="18" t="s">
        <v>65</v>
      </c>
      <c r="X22" s="18" t="s">
        <v>65</v>
      </c>
      <c r="Y22" s="18" t="s">
        <v>65</v>
      </c>
      <c r="Z22" s="18" t="s">
        <v>65</v>
      </c>
      <c r="AA22" s="18" t="s">
        <v>65</v>
      </c>
      <c r="AB22" s="18" t="s">
        <v>65</v>
      </c>
      <c r="AC22" s="18" t="s">
        <v>65</v>
      </c>
      <c r="AD22" s="18" t="s">
        <v>65</v>
      </c>
      <c r="AE22" s="19" t="s">
        <v>65</v>
      </c>
      <c r="AF22" s="19" t="s">
        <v>65</v>
      </c>
      <c r="AG22" s="19" t="s">
        <v>65</v>
      </c>
      <c r="AH22" s="19" t="s">
        <v>65</v>
      </c>
      <c r="AI22" s="18">
        <v>0</v>
      </c>
      <c r="AJ22" s="31"/>
    </row>
    <row r="23" spans="1:36" x14ac:dyDescent="0.25">
      <c r="C23" s="47" t="s">
        <v>163</v>
      </c>
      <c r="D23" s="18" t="s">
        <v>65</v>
      </c>
      <c r="E23" s="18" t="s">
        <v>65</v>
      </c>
      <c r="F23" s="18" t="s">
        <v>65</v>
      </c>
      <c r="G23" s="18" t="s">
        <v>65</v>
      </c>
      <c r="H23" s="18" t="s">
        <v>65</v>
      </c>
      <c r="I23" s="18" t="s">
        <v>65</v>
      </c>
      <c r="J23" s="18" t="s">
        <v>65</v>
      </c>
      <c r="K23" s="18" t="s">
        <v>65</v>
      </c>
      <c r="L23" s="18" t="s">
        <v>65</v>
      </c>
      <c r="M23" s="18" t="s">
        <v>65</v>
      </c>
      <c r="N23" s="18" t="s">
        <v>65</v>
      </c>
      <c r="O23" s="18" t="s">
        <v>65</v>
      </c>
      <c r="P23" s="18" t="s">
        <v>65</v>
      </c>
      <c r="Q23" s="18" t="s">
        <v>65</v>
      </c>
      <c r="R23" s="18" t="s">
        <v>65</v>
      </c>
      <c r="S23" s="18" t="s">
        <v>65</v>
      </c>
      <c r="T23" s="18" t="s">
        <v>65</v>
      </c>
      <c r="U23" s="18" t="s">
        <v>65</v>
      </c>
      <c r="V23" s="18" t="s">
        <v>65</v>
      </c>
      <c r="W23" s="18" t="s">
        <v>65</v>
      </c>
      <c r="X23" s="18" t="s">
        <v>65</v>
      </c>
      <c r="Y23" s="18" t="s">
        <v>65</v>
      </c>
      <c r="Z23" s="18" t="s">
        <v>65</v>
      </c>
      <c r="AA23" s="18" t="s">
        <v>65</v>
      </c>
      <c r="AB23" s="18" t="s">
        <v>65</v>
      </c>
      <c r="AC23" s="18" t="s">
        <v>65</v>
      </c>
      <c r="AD23" s="18" t="s">
        <v>65</v>
      </c>
      <c r="AE23" s="19" t="s">
        <v>65</v>
      </c>
      <c r="AF23" s="19" t="s">
        <v>65</v>
      </c>
      <c r="AG23" s="19" t="s">
        <v>65</v>
      </c>
      <c r="AH23" s="19" t="s">
        <v>65</v>
      </c>
      <c r="AI23" s="18">
        <v>0</v>
      </c>
      <c r="AJ23" s="31"/>
    </row>
    <row r="24" spans="1:36" x14ac:dyDescent="0.25">
      <c r="C24" s="47" t="s">
        <v>164</v>
      </c>
      <c r="D24" s="18" t="s">
        <v>65</v>
      </c>
      <c r="E24" s="18" t="s">
        <v>65</v>
      </c>
      <c r="F24" s="18" t="s">
        <v>65</v>
      </c>
      <c r="G24" s="18" t="s">
        <v>65</v>
      </c>
      <c r="H24" s="18" t="s">
        <v>65</v>
      </c>
      <c r="I24" s="18" t="s">
        <v>65</v>
      </c>
      <c r="J24" s="18" t="s">
        <v>65</v>
      </c>
      <c r="K24" s="18" t="s">
        <v>65</v>
      </c>
      <c r="L24" s="18" t="s">
        <v>65</v>
      </c>
      <c r="M24" s="18" t="s">
        <v>65</v>
      </c>
      <c r="N24" s="18" t="s">
        <v>65</v>
      </c>
      <c r="O24" s="18" t="s">
        <v>65</v>
      </c>
      <c r="P24" s="18" t="s">
        <v>65</v>
      </c>
      <c r="Q24" s="18" t="s">
        <v>65</v>
      </c>
      <c r="R24" s="18" t="s">
        <v>65</v>
      </c>
      <c r="S24" s="18" t="s">
        <v>65</v>
      </c>
      <c r="T24" s="18" t="s">
        <v>65</v>
      </c>
      <c r="U24" s="18" t="s">
        <v>65</v>
      </c>
      <c r="V24" s="18" t="s">
        <v>65</v>
      </c>
      <c r="W24" s="18" t="s">
        <v>65</v>
      </c>
      <c r="X24" s="18" t="s">
        <v>65</v>
      </c>
      <c r="Y24" s="18" t="s">
        <v>65</v>
      </c>
      <c r="Z24" s="18" t="s">
        <v>65</v>
      </c>
      <c r="AA24" s="18" t="s">
        <v>65</v>
      </c>
      <c r="AB24" s="18" t="s">
        <v>65</v>
      </c>
      <c r="AC24" s="18" t="s">
        <v>65</v>
      </c>
      <c r="AD24" s="18" t="s">
        <v>65</v>
      </c>
      <c r="AE24" s="19" t="s">
        <v>65</v>
      </c>
      <c r="AF24" s="19" t="s">
        <v>65</v>
      </c>
      <c r="AG24" s="19" t="s">
        <v>65</v>
      </c>
      <c r="AH24" s="19" t="s">
        <v>65</v>
      </c>
      <c r="AI24" s="18">
        <v>0</v>
      </c>
      <c r="AJ24" s="31"/>
    </row>
    <row r="25" spans="1:36" x14ac:dyDescent="0.25">
      <c r="C25" s="47" t="s">
        <v>165</v>
      </c>
      <c r="D25" s="18" t="s">
        <v>65</v>
      </c>
      <c r="E25" s="18" t="s">
        <v>65</v>
      </c>
      <c r="F25" s="18" t="s">
        <v>65</v>
      </c>
      <c r="G25" s="18" t="s">
        <v>65</v>
      </c>
      <c r="H25" s="18" t="s">
        <v>65</v>
      </c>
      <c r="I25" s="18" t="s">
        <v>65</v>
      </c>
      <c r="J25" s="18" t="s">
        <v>65</v>
      </c>
      <c r="K25" s="18" t="s">
        <v>65</v>
      </c>
      <c r="L25" s="18" t="s">
        <v>65</v>
      </c>
      <c r="M25" s="18" t="s">
        <v>65</v>
      </c>
      <c r="N25" s="18" t="s">
        <v>65</v>
      </c>
      <c r="O25" s="18" t="s">
        <v>65</v>
      </c>
      <c r="P25" s="18" t="s">
        <v>65</v>
      </c>
      <c r="Q25" s="18" t="s">
        <v>65</v>
      </c>
      <c r="R25" s="18" t="s">
        <v>65</v>
      </c>
      <c r="S25" s="18" t="s">
        <v>65</v>
      </c>
      <c r="T25" s="18" t="s">
        <v>65</v>
      </c>
      <c r="U25" s="18" t="s">
        <v>65</v>
      </c>
      <c r="V25" s="18" t="s">
        <v>65</v>
      </c>
      <c r="W25" s="18" t="s">
        <v>65</v>
      </c>
      <c r="X25" s="18" t="s">
        <v>65</v>
      </c>
      <c r="Y25" s="18" t="s">
        <v>65</v>
      </c>
      <c r="Z25" s="18" t="s">
        <v>65</v>
      </c>
      <c r="AA25" s="18" t="s">
        <v>65</v>
      </c>
      <c r="AB25" s="18" t="s">
        <v>65</v>
      </c>
      <c r="AC25" s="18" t="s">
        <v>65</v>
      </c>
      <c r="AD25" s="18" t="s">
        <v>65</v>
      </c>
      <c r="AE25" s="19" t="s">
        <v>65</v>
      </c>
      <c r="AF25" s="19" t="s">
        <v>65</v>
      </c>
      <c r="AG25" s="19" t="s">
        <v>65</v>
      </c>
      <c r="AH25" s="19" t="s">
        <v>65</v>
      </c>
      <c r="AI25" s="18">
        <v>0</v>
      </c>
      <c r="AJ25" s="31"/>
    </row>
    <row r="26" spans="1:36" x14ac:dyDescent="0.25">
      <c r="C26" s="47" t="s">
        <v>166</v>
      </c>
      <c r="D26" s="18" t="s">
        <v>65</v>
      </c>
      <c r="E26" s="18" t="s">
        <v>65</v>
      </c>
      <c r="F26" s="18" t="s">
        <v>65</v>
      </c>
      <c r="G26" s="18" t="s">
        <v>65</v>
      </c>
      <c r="H26" s="18" t="s">
        <v>65</v>
      </c>
      <c r="I26" s="18" t="s">
        <v>65</v>
      </c>
      <c r="J26" s="18" t="s">
        <v>65</v>
      </c>
      <c r="K26" s="18" t="s">
        <v>65</v>
      </c>
      <c r="L26" s="18" t="s">
        <v>65</v>
      </c>
      <c r="M26" s="18" t="s">
        <v>65</v>
      </c>
      <c r="N26" s="18" t="s">
        <v>65</v>
      </c>
      <c r="O26" s="18" t="s">
        <v>65</v>
      </c>
      <c r="P26" s="18" t="s">
        <v>65</v>
      </c>
      <c r="Q26" s="18" t="s">
        <v>65</v>
      </c>
      <c r="R26" s="18" t="s">
        <v>65</v>
      </c>
      <c r="S26" s="18" t="s">
        <v>65</v>
      </c>
      <c r="T26" s="18" t="s">
        <v>65</v>
      </c>
      <c r="U26" s="18" t="s">
        <v>65</v>
      </c>
      <c r="V26" s="18" t="s">
        <v>65</v>
      </c>
      <c r="W26" s="18" t="s">
        <v>65</v>
      </c>
      <c r="X26" s="18" t="s">
        <v>65</v>
      </c>
      <c r="Y26" s="18" t="s">
        <v>65</v>
      </c>
      <c r="Z26" s="18" t="s">
        <v>65</v>
      </c>
      <c r="AA26" s="18" t="s">
        <v>65</v>
      </c>
      <c r="AB26" s="18" t="s">
        <v>65</v>
      </c>
      <c r="AC26" s="18" t="s">
        <v>65</v>
      </c>
      <c r="AD26" s="18" t="s">
        <v>65</v>
      </c>
      <c r="AE26" s="19" t="s">
        <v>65</v>
      </c>
      <c r="AF26" s="19" t="s">
        <v>65</v>
      </c>
      <c r="AG26" s="19" t="s">
        <v>65</v>
      </c>
      <c r="AH26" s="19" t="s">
        <v>65</v>
      </c>
      <c r="AI26" s="18">
        <v>0</v>
      </c>
      <c r="AJ26" s="31"/>
    </row>
    <row r="27" spans="1:36" x14ac:dyDescent="0.25">
      <c r="C27" s="47" t="s">
        <v>167</v>
      </c>
      <c r="D27" s="18" t="s">
        <v>65</v>
      </c>
      <c r="E27" s="18" t="s">
        <v>65</v>
      </c>
      <c r="F27" s="18" t="s">
        <v>65</v>
      </c>
      <c r="G27" s="18" t="s">
        <v>65</v>
      </c>
      <c r="H27" s="18" t="s">
        <v>65</v>
      </c>
      <c r="I27" s="18" t="s">
        <v>65</v>
      </c>
      <c r="J27" s="18" t="s">
        <v>65</v>
      </c>
      <c r="K27" s="18" t="s">
        <v>65</v>
      </c>
      <c r="L27" s="18" t="s">
        <v>65</v>
      </c>
      <c r="M27" s="18" t="s">
        <v>65</v>
      </c>
      <c r="N27" s="18" t="s">
        <v>65</v>
      </c>
      <c r="O27" s="18" t="s">
        <v>65</v>
      </c>
      <c r="P27" s="18" t="s">
        <v>65</v>
      </c>
      <c r="Q27" s="18" t="s">
        <v>65</v>
      </c>
      <c r="R27" s="18" t="s">
        <v>65</v>
      </c>
      <c r="S27" s="18" t="s">
        <v>65</v>
      </c>
      <c r="T27" s="18" t="s">
        <v>65</v>
      </c>
      <c r="U27" s="18" t="s">
        <v>65</v>
      </c>
      <c r="V27" s="18" t="s">
        <v>65</v>
      </c>
      <c r="W27" s="18" t="s">
        <v>65</v>
      </c>
      <c r="X27" s="18" t="s">
        <v>65</v>
      </c>
      <c r="Y27" s="18" t="s">
        <v>65</v>
      </c>
      <c r="Z27" s="18" t="s">
        <v>65</v>
      </c>
      <c r="AA27" s="18" t="s">
        <v>65</v>
      </c>
      <c r="AB27" s="18" t="s">
        <v>65</v>
      </c>
      <c r="AC27" s="18" t="s">
        <v>65</v>
      </c>
      <c r="AD27" s="18" t="s">
        <v>65</v>
      </c>
      <c r="AE27" s="19" t="s">
        <v>65</v>
      </c>
      <c r="AF27" s="19" t="s">
        <v>65</v>
      </c>
      <c r="AG27" s="19" t="s">
        <v>65</v>
      </c>
      <c r="AH27" s="19" t="s">
        <v>65</v>
      </c>
      <c r="AI27" s="18">
        <v>0</v>
      </c>
      <c r="AJ27" s="31"/>
    </row>
    <row r="28" spans="1:36" ht="15" x14ac:dyDescent="0.25">
      <c r="C28" s="47" t="s">
        <v>168</v>
      </c>
      <c r="D28" s="18" t="s">
        <v>65</v>
      </c>
      <c r="E28" s="18" t="s">
        <v>65</v>
      </c>
      <c r="F28" s="18" t="s">
        <v>65</v>
      </c>
      <c r="G28" s="18" t="s">
        <v>65</v>
      </c>
      <c r="H28" s="18" t="s">
        <v>65</v>
      </c>
      <c r="I28" s="18" t="s">
        <v>65</v>
      </c>
      <c r="J28" s="18" t="s">
        <v>65</v>
      </c>
      <c r="K28" s="18" t="s">
        <v>65</v>
      </c>
      <c r="L28" s="18" t="s">
        <v>65</v>
      </c>
      <c r="M28" s="18" t="s">
        <v>65</v>
      </c>
      <c r="N28" s="18" t="s">
        <v>65</v>
      </c>
      <c r="O28" s="18" t="s">
        <v>65</v>
      </c>
      <c r="P28" s="18" t="s">
        <v>65</v>
      </c>
      <c r="Q28" s="18" t="s">
        <v>65</v>
      </c>
      <c r="R28" s="18" t="s">
        <v>65</v>
      </c>
      <c r="S28" s="18" t="s">
        <v>65</v>
      </c>
      <c r="T28" s="18" t="s">
        <v>65</v>
      </c>
      <c r="U28" s="18" t="s">
        <v>65</v>
      </c>
      <c r="V28" s="18" t="s">
        <v>65</v>
      </c>
      <c r="W28" s="18" t="s">
        <v>65</v>
      </c>
      <c r="X28" s="18" t="s">
        <v>65</v>
      </c>
      <c r="Y28" s="18" t="s">
        <v>65</v>
      </c>
      <c r="Z28" s="18" t="s">
        <v>65</v>
      </c>
      <c r="AA28" s="18" t="s">
        <v>65</v>
      </c>
      <c r="AB28" s="18" t="s">
        <v>65</v>
      </c>
      <c r="AC28" s="18" t="s">
        <v>65</v>
      </c>
      <c r="AD28" s="18" t="s">
        <v>65</v>
      </c>
      <c r="AE28" s="19" t="s">
        <v>65</v>
      </c>
      <c r="AF28" s="19" t="s">
        <v>65</v>
      </c>
      <c r="AG28" s="19" t="s">
        <v>65</v>
      </c>
      <c r="AH28" s="19" t="s">
        <v>65</v>
      </c>
      <c r="AI28" s="18">
        <v>0</v>
      </c>
      <c r="AJ28" s="31"/>
    </row>
    <row r="29" spans="1:36" ht="15" x14ac:dyDescent="0.25">
      <c r="C29" s="48" t="s">
        <v>169</v>
      </c>
      <c r="D29" s="14">
        <v>0.11977</v>
      </c>
      <c r="E29" s="14">
        <v>0.11977</v>
      </c>
      <c r="F29" s="14">
        <v>9.8685170000000006</v>
      </c>
      <c r="G29" s="14">
        <v>19.617263999999999</v>
      </c>
      <c r="H29" s="14">
        <v>39.114758000000002</v>
      </c>
      <c r="I29" s="14">
        <v>58.612251999999998</v>
      </c>
      <c r="J29" s="14">
        <v>97.607240000000004</v>
      </c>
      <c r="K29" s="14">
        <v>133.28886</v>
      </c>
      <c r="L29" s="14">
        <v>169.01223999999999</v>
      </c>
      <c r="M29" s="14">
        <v>79.216999999999999</v>
      </c>
      <c r="N29" s="14">
        <v>254.82238100000001</v>
      </c>
      <c r="O29" s="14">
        <v>397.75632999999999</v>
      </c>
      <c r="P29" s="14">
        <v>379.51398999999998</v>
      </c>
      <c r="Q29" s="14">
        <v>267.89488999999998</v>
      </c>
      <c r="R29" s="14">
        <v>285.95057279999997</v>
      </c>
      <c r="S29" s="14">
        <v>234.81345999999999</v>
      </c>
      <c r="T29" s="14">
        <v>216.38503</v>
      </c>
      <c r="U29" s="14">
        <v>190.95674</v>
      </c>
      <c r="V29" s="14">
        <v>168.1002</v>
      </c>
      <c r="W29" s="14">
        <v>136.13625999999999</v>
      </c>
      <c r="X29" s="14">
        <v>83.632750000000001</v>
      </c>
      <c r="Y29" s="14">
        <v>46.583799999999997</v>
      </c>
      <c r="Z29" s="14">
        <v>15.8758</v>
      </c>
      <c r="AA29" s="14">
        <v>9.5590577777777295</v>
      </c>
      <c r="AB29" s="14">
        <v>8.3243555555555702</v>
      </c>
      <c r="AC29" s="14">
        <v>3.5626101010101001</v>
      </c>
      <c r="AD29" s="14">
        <v>20.497364646464689</v>
      </c>
      <c r="AE29" s="14">
        <v>37.356925454545468</v>
      </c>
      <c r="AF29" s="14">
        <v>47.195406868686852</v>
      </c>
      <c r="AG29" s="14">
        <v>49.858897878787829</v>
      </c>
      <c r="AH29" s="14">
        <v>63.051772424242351</v>
      </c>
      <c r="AI29" s="14">
        <v>52544.044772682937</v>
      </c>
      <c r="AJ29" s="31"/>
    </row>
    <row r="30" spans="1:36" ht="13.5" x14ac:dyDescent="0.25">
      <c r="C30" s="47" t="s">
        <v>170</v>
      </c>
      <c r="D30" s="18">
        <v>3.0000000000000001E-6</v>
      </c>
      <c r="E30" s="18">
        <v>3.0000000000000001E-6</v>
      </c>
      <c r="F30" s="18">
        <v>1.9430000000000001E-4</v>
      </c>
      <c r="G30" s="18">
        <v>3.8559999999999999E-4</v>
      </c>
      <c r="H30" s="18">
        <v>7.6820000000000002E-4</v>
      </c>
      <c r="I30" s="18">
        <v>1.1508E-3</v>
      </c>
      <c r="J30" s="18">
        <v>1.916E-3</v>
      </c>
      <c r="K30" s="18">
        <v>2.774E-3</v>
      </c>
      <c r="L30" s="18">
        <v>3.6359999999999999E-3</v>
      </c>
      <c r="M30" s="18">
        <v>2.3E-3</v>
      </c>
      <c r="N30" s="18">
        <v>4.0679000000000002E-3</v>
      </c>
      <c r="O30" s="18">
        <v>5.8869999999999999E-3</v>
      </c>
      <c r="P30" s="18">
        <v>6.6410000000000002E-3</v>
      </c>
      <c r="Q30" s="18">
        <v>6.0990000000000003E-3</v>
      </c>
      <c r="R30" s="18">
        <v>8.4055999999999992E-3</v>
      </c>
      <c r="S30" s="18">
        <v>5.5539999999999999E-3</v>
      </c>
      <c r="T30" s="18">
        <v>5.117E-3</v>
      </c>
      <c r="U30" s="18">
        <v>4.1660000000000004E-3</v>
      </c>
      <c r="V30" s="18">
        <v>3.3800000000000002E-3</v>
      </c>
      <c r="W30" s="18">
        <v>3.0300000000000001E-3</v>
      </c>
      <c r="X30" s="18">
        <v>2.3370000000000001E-3</v>
      </c>
      <c r="Y30" s="18">
        <v>1.66E-3</v>
      </c>
      <c r="Z30" s="18">
        <v>8.5999999999999998E-4</v>
      </c>
      <c r="AA30" s="18">
        <v>5.5999999999999995E-4</v>
      </c>
      <c r="AB30" s="18">
        <v>5.0000000000000001E-4</v>
      </c>
      <c r="AC30" s="18">
        <v>1.5272727273E-4</v>
      </c>
      <c r="AD30" s="18">
        <v>2.0154545454500001E-3</v>
      </c>
      <c r="AE30" s="19">
        <v>4.7392727272700004E-3</v>
      </c>
      <c r="AF30" s="19">
        <v>6.0434545454499996E-3</v>
      </c>
      <c r="AG30" s="19">
        <v>6.0417272727300003E-3</v>
      </c>
      <c r="AH30" s="19">
        <v>7.8024545454499997E-3</v>
      </c>
      <c r="AI30" s="18">
        <v>259981.818181818</v>
      </c>
      <c r="AJ30" s="31"/>
    </row>
    <row r="31" spans="1:36" ht="13.5" x14ac:dyDescent="0.25">
      <c r="C31" s="47" t="s">
        <v>171</v>
      </c>
      <c r="D31" s="18">
        <v>7.9999999999999996E-6</v>
      </c>
      <c r="E31" s="18">
        <v>7.9999999999999996E-6</v>
      </c>
      <c r="F31" s="18">
        <v>6.912E-4</v>
      </c>
      <c r="G31" s="18">
        <v>1.3744E-3</v>
      </c>
      <c r="H31" s="18">
        <v>2.7407999999999998E-3</v>
      </c>
      <c r="I31" s="18">
        <v>4.1072000000000001E-3</v>
      </c>
      <c r="J31" s="18">
        <v>6.8399999999999997E-3</v>
      </c>
      <c r="K31" s="18">
        <v>9.2449999999999997E-3</v>
      </c>
      <c r="L31" s="18">
        <v>1.1651E-2</v>
      </c>
      <c r="M31" s="18">
        <v>5.1000000000000004E-3</v>
      </c>
      <c r="N31" s="18">
        <v>1.8422999999999998E-2</v>
      </c>
      <c r="O31" s="18">
        <v>2.9037E-2</v>
      </c>
      <c r="P31" s="18">
        <v>2.7085000000000001E-2</v>
      </c>
      <c r="Q31" s="18">
        <v>1.8176399999999999E-2</v>
      </c>
      <c r="R31" s="18">
        <v>1.8093703999999999E-2</v>
      </c>
      <c r="S31" s="18">
        <v>1.5696999999999999E-2</v>
      </c>
      <c r="T31" s="18">
        <v>1.4257000000000001E-2</v>
      </c>
      <c r="U31" s="18">
        <v>1.2715000000000001E-2</v>
      </c>
      <c r="V31" s="18">
        <v>1.1115E-2</v>
      </c>
      <c r="W31" s="18">
        <v>8.6648000000000003E-3</v>
      </c>
      <c r="X31" s="18">
        <v>5.1355999999999997E-3</v>
      </c>
      <c r="Y31" s="18">
        <v>2.4919999999999999E-3</v>
      </c>
      <c r="Z31" s="18">
        <v>3.9199999999999999E-4</v>
      </c>
      <c r="AA31" s="18">
        <v>1.7039999999999999E-4</v>
      </c>
      <c r="AB31" s="18">
        <v>1.44E-4</v>
      </c>
      <c r="AC31" s="18">
        <v>1.92E-4</v>
      </c>
      <c r="AD31" s="18">
        <v>4.1800000000000002E-4</v>
      </c>
      <c r="AE31" s="19">
        <v>1.8200000000000001E-4</v>
      </c>
      <c r="AF31" s="19">
        <v>1.93E-4</v>
      </c>
      <c r="AG31" s="19">
        <v>3.77E-4</v>
      </c>
      <c r="AH31" s="19">
        <v>3.9100000000000002E-4</v>
      </c>
      <c r="AI31" s="18">
        <v>4787.5</v>
      </c>
      <c r="AJ31" s="31"/>
    </row>
    <row r="32" spans="1:36" ht="13.5" x14ac:dyDescent="0.25">
      <c r="C32" s="47" t="s">
        <v>172</v>
      </c>
      <c r="D32" s="18" t="s">
        <v>65</v>
      </c>
      <c r="E32" s="18" t="s">
        <v>65</v>
      </c>
      <c r="F32" s="18" t="s">
        <v>65</v>
      </c>
      <c r="G32" s="18" t="s">
        <v>65</v>
      </c>
      <c r="H32" s="18" t="s">
        <v>65</v>
      </c>
      <c r="I32" s="18" t="s">
        <v>65</v>
      </c>
      <c r="J32" s="18" t="s">
        <v>65</v>
      </c>
      <c r="K32" s="18" t="s">
        <v>65</v>
      </c>
      <c r="L32" s="18" t="s">
        <v>65</v>
      </c>
      <c r="M32" s="18" t="s">
        <v>65</v>
      </c>
      <c r="N32" s="18" t="s">
        <v>65</v>
      </c>
      <c r="O32" s="18" t="s">
        <v>65</v>
      </c>
      <c r="P32" s="18" t="s">
        <v>65</v>
      </c>
      <c r="Q32" s="18" t="s">
        <v>65</v>
      </c>
      <c r="R32" s="18" t="s">
        <v>65</v>
      </c>
      <c r="S32" s="18" t="s">
        <v>65</v>
      </c>
      <c r="T32" s="18" t="s">
        <v>65</v>
      </c>
      <c r="U32" s="18" t="s">
        <v>65</v>
      </c>
      <c r="V32" s="18" t="s">
        <v>65</v>
      </c>
      <c r="W32" s="18" t="s">
        <v>65</v>
      </c>
      <c r="X32" s="18" t="s">
        <v>65</v>
      </c>
      <c r="Y32" s="18" t="s">
        <v>65</v>
      </c>
      <c r="Z32" s="18" t="s">
        <v>65</v>
      </c>
      <c r="AA32" s="18" t="s">
        <v>65</v>
      </c>
      <c r="AB32" s="18" t="s">
        <v>65</v>
      </c>
      <c r="AC32" s="18" t="s">
        <v>65</v>
      </c>
      <c r="AD32" s="18" t="s">
        <v>65</v>
      </c>
      <c r="AE32" s="19" t="s">
        <v>65</v>
      </c>
      <c r="AF32" s="19" t="s">
        <v>65</v>
      </c>
      <c r="AG32" s="19" t="s">
        <v>65</v>
      </c>
      <c r="AH32" s="19" t="s">
        <v>65</v>
      </c>
      <c r="AI32" s="18">
        <v>0</v>
      </c>
      <c r="AJ32" s="31"/>
    </row>
    <row r="33" spans="3:36" ht="13.5" x14ac:dyDescent="0.25">
      <c r="C33" s="47" t="s">
        <v>173</v>
      </c>
      <c r="D33" s="18" t="s">
        <v>65</v>
      </c>
      <c r="E33" s="18" t="s">
        <v>65</v>
      </c>
      <c r="F33" s="18" t="s">
        <v>65</v>
      </c>
      <c r="G33" s="18" t="s">
        <v>65</v>
      </c>
      <c r="H33" s="18" t="s">
        <v>65</v>
      </c>
      <c r="I33" s="18" t="s">
        <v>65</v>
      </c>
      <c r="J33" s="18" t="s">
        <v>65</v>
      </c>
      <c r="K33" s="18" t="s">
        <v>65</v>
      </c>
      <c r="L33" s="18" t="s">
        <v>65</v>
      </c>
      <c r="M33" s="18" t="s">
        <v>65</v>
      </c>
      <c r="N33" s="18" t="s">
        <v>65</v>
      </c>
      <c r="O33" s="18" t="s">
        <v>65</v>
      </c>
      <c r="P33" s="18" t="s">
        <v>65</v>
      </c>
      <c r="Q33" s="18" t="s">
        <v>65</v>
      </c>
      <c r="R33" s="18" t="s">
        <v>65</v>
      </c>
      <c r="S33" s="18" t="s">
        <v>65</v>
      </c>
      <c r="T33" s="18" t="s">
        <v>65</v>
      </c>
      <c r="U33" s="18" t="s">
        <v>65</v>
      </c>
      <c r="V33" s="18" t="s">
        <v>65</v>
      </c>
      <c r="W33" s="18" t="s">
        <v>65</v>
      </c>
      <c r="X33" s="18" t="s">
        <v>65</v>
      </c>
      <c r="Y33" s="18" t="s">
        <v>65</v>
      </c>
      <c r="Z33" s="18" t="s">
        <v>65</v>
      </c>
      <c r="AA33" s="18" t="s">
        <v>65</v>
      </c>
      <c r="AB33" s="18" t="s">
        <v>65</v>
      </c>
      <c r="AC33" s="18" t="s">
        <v>65</v>
      </c>
      <c r="AD33" s="18" t="s">
        <v>65</v>
      </c>
      <c r="AE33" s="19" t="s">
        <v>65</v>
      </c>
      <c r="AF33" s="19" t="s">
        <v>65</v>
      </c>
      <c r="AG33" s="19" t="s">
        <v>65</v>
      </c>
      <c r="AH33" s="19" t="s">
        <v>65</v>
      </c>
      <c r="AI33" s="18">
        <v>0</v>
      </c>
      <c r="AJ33" s="31"/>
    </row>
    <row r="34" spans="3:36" ht="13.5" x14ac:dyDescent="0.25">
      <c r="C34" s="47" t="s">
        <v>174</v>
      </c>
      <c r="D34" s="18" t="s">
        <v>65</v>
      </c>
      <c r="E34" s="18" t="s">
        <v>65</v>
      </c>
      <c r="F34" s="18" t="s">
        <v>65</v>
      </c>
      <c r="G34" s="18" t="s">
        <v>65</v>
      </c>
      <c r="H34" s="18" t="s">
        <v>65</v>
      </c>
      <c r="I34" s="18" t="s">
        <v>65</v>
      </c>
      <c r="J34" s="18" t="s">
        <v>65</v>
      </c>
      <c r="K34" s="18" t="s">
        <v>65</v>
      </c>
      <c r="L34" s="18" t="s">
        <v>65</v>
      </c>
      <c r="M34" s="18" t="s">
        <v>65</v>
      </c>
      <c r="N34" s="18" t="s">
        <v>65</v>
      </c>
      <c r="O34" s="18" t="s">
        <v>65</v>
      </c>
      <c r="P34" s="18" t="s">
        <v>65</v>
      </c>
      <c r="Q34" s="18">
        <v>1.0399999999999999E-4</v>
      </c>
      <c r="R34" s="18">
        <v>2.9999999999999997E-4</v>
      </c>
      <c r="S34" s="18">
        <v>2.2000000000000001E-4</v>
      </c>
      <c r="T34" s="18">
        <v>4.4999999999999999E-4</v>
      </c>
      <c r="U34" s="18">
        <v>4.8999999999999998E-4</v>
      </c>
      <c r="V34" s="18">
        <v>7.2999999999999996E-4</v>
      </c>
      <c r="W34" s="18">
        <v>7.7999999999999999E-4</v>
      </c>
      <c r="X34" s="18">
        <v>3.6000000000000002E-4</v>
      </c>
      <c r="Y34" s="18">
        <v>3.8000000000000002E-4</v>
      </c>
      <c r="Z34" s="18">
        <v>4.6000000000000001E-4</v>
      </c>
      <c r="AA34" s="18">
        <v>3.2444444444000001E-4</v>
      </c>
      <c r="AB34" s="18">
        <v>2.7888888888999999E-4</v>
      </c>
      <c r="AC34" s="18">
        <v>8.8888888900000007E-6</v>
      </c>
      <c r="AD34" s="18">
        <v>4.8888888890000001E-5</v>
      </c>
      <c r="AE34" s="19">
        <v>1.1E-5</v>
      </c>
      <c r="AF34" s="19">
        <v>1.7444444440000001E-5</v>
      </c>
      <c r="AG34" s="19">
        <v>5.9333333329999998E-5</v>
      </c>
      <c r="AH34" s="19">
        <v>6.0333333330000002E-5</v>
      </c>
      <c r="AI34" s="18">
        <v>100</v>
      </c>
      <c r="AJ34" s="31"/>
    </row>
    <row r="35" spans="3:36" ht="13.5" x14ac:dyDescent="0.25">
      <c r="C35" s="47" t="s">
        <v>175</v>
      </c>
      <c r="D35" s="18" t="s">
        <v>65</v>
      </c>
      <c r="E35" s="18" t="s">
        <v>65</v>
      </c>
      <c r="F35" s="18" t="s">
        <v>65</v>
      </c>
      <c r="G35" s="18" t="s">
        <v>65</v>
      </c>
      <c r="H35" s="18" t="s">
        <v>65</v>
      </c>
      <c r="I35" s="18" t="s">
        <v>65</v>
      </c>
      <c r="J35" s="18" t="s">
        <v>65</v>
      </c>
      <c r="K35" s="18" t="s">
        <v>65</v>
      </c>
      <c r="L35" s="18" t="s">
        <v>65</v>
      </c>
      <c r="M35" s="18" t="s">
        <v>65</v>
      </c>
      <c r="N35" s="18" t="s">
        <v>65</v>
      </c>
      <c r="O35" s="18" t="s">
        <v>65</v>
      </c>
      <c r="P35" s="18" t="s">
        <v>65</v>
      </c>
      <c r="Q35" s="18" t="s">
        <v>65</v>
      </c>
      <c r="R35" s="18" t="s">
        <v>65</v>
      </c>
      <c r="S35" s="18" t="s">
        <v>65</v>
      </c>
      <c r="T35" s="18" t="s">
        <v>65</v>
      </c>
      <c r="U35" s="18" t="s">
        <v>65</v>
      </c>
      <c r="V35" s="18" t="s">
        <v>65</v>
      </c>
      <c r="W35" s="18" t="s">
        <v>65</v>
      </c>
      <c r="X35" s="18" t="s">
        <v>65</v>
      </c>
      <c r="Y35" s="18" t="s">
        <v>65</v>
      </c>
      <c r="Z35" s="18" t="s">
        <v>65</v>
      </c>
      <c r="AA35" s="18" t="s">
        <v>65</v>
      </c>
      <c r="AB35" s="18" t="s">
        <v>65</v>
      </c>
      <c r="AC35" s="18" t="s">
        <v>65</v>
      </c>
      <c r="AD35" s="18" t="s">
        <v>65</v>
      </c>
      <c r="AE35" s="19" t="s">
        <v>65</v>
      </c>
      <c r="AF35" s="19" t="s">
        <v>65</v>
      </c>
      <c r="AG35" s="19" t="s">
        <v>65</v>
      </c>
      <c r="AH35" s="19" t="s">
        <v>65</v>
      </c>
      <c r="AI35" s="18">
        <v>0</v>
      </c>
      <c r="AJ35" s="31"/>
    </row>
    <row r="36" spans="3:36" ht="13.5" x14ac:dyDescent="0.25">
      <c r="C36" s="47" t="s">
        <v>176</v>
      </c>
      <c r="D36" s="18" t="s">
        <v>65</v>
      </c>
      <c r="E36" s="18" t="s">
        <v>65</v>
      </c>
      <c r="F36" s="18" t="s">
        <v>65</v>
      </c>
      <c r="G36" s="18" t="s">
        <v>65</v>
      </c>
      <c r="H36" s="18" t="s">
        <v>65</v>
      </c>
      <c r="I36" s="18" t="s">
        <v>65</v>
      </c>
      <c r="J36" s="18" t="s">
        <v>65</v>
      </c>
      <c r="K36" s="18" t="s">
        <v>65</v>
      </c>
      <c r="L36" s="18" t="s">
        <v>65</v>
      </c>
      <c r="M36" s="18" t="s">
        <v>65</v>
      </c>
      <c r="N36" s="18" t="s">
        <v>65</v>
      </c>
      <c r="O36" s="18" t="s">
        <v>65</v>
      </c>
      <c r="P36" s="18" t="s">
        <v>65</v>
      </c>
      <c r="Q36" s="18" t="s">
        <v>65</v>
      </c>
      <c r="R36" s="18" t="s">
        <v>65</v>
      </c>
      <c r="S36" s="18" t="s">
        <v>65</v>
      </c>
      <c r="T36" s="18" t="s">
        <v>65</v>
      </c>
      <c r="U36" s="18" t="s">
        <v>65</v>
      </c>
      <c r="V36" s="18" t="s">
        <v>65</v>
      </c>
      <c r="W36" s="18" t="s">
        <v>65</v>
      </c>
      <c r="X36" s="18" t="s">
        <v>65</v>
      </c>
      <c r="Y36" s="18" t="s">
        <v>65</v>
      </c>
      <c r="Z36" s="18" t="s">
        <v>65</v>
      </c>
      <c r="AA36" s="18" t="s">
        <v>65</v>
      </c>
      <c r="AB36" s="18" t="s">
        <v>65</v>
      </c>
      <c r="AC36" s="18" t="s">
        <v>65</v>
      </c>
      <c r="AD36" s="18" t="s">
        <v>65</v>
      </c>
      <c r="AE36" s="19" t="s">
        <v>65</v>
      </c>
      <c r="AF36" s="19" t="s">
        <v>65</v>
      </c>
      <c r="AG36" s="19" t="s">
        <v>65</v>
      </c>
      <c r="AH36" s="19" t="s">
        <v>65</v>
      </c>
      <c r="AI36" s="18">
        <v>0</v>
      </c>
      <c r="AJ36" s="31"/>
    </row>
    <row r="37" spans="3:36" ht="13.5" x14ac:dyDescent="0.25">
      <c r="C37" s="47" t="s">
        <v>177</v>
      </c>
      <c r="D37" s="18" t="s">
        <v>65</v>
      </c>
      <c r="E37" s="18" t="s">
        <v>65</v>
      </c>
      <c r="F37" s="18" t="s">
        <v>65</v>
      </c>
      <c r="G37" s="18" t="s">
        <v>65</v>
      </c>
      <c r="H37" s="18" t="s">
        <v>65</v>
      </c>
      <c r="I37" s="18" t="s">
        <v>65</v>
      </c>
      <c r="J37" s="18" t="s">
        <v>65</v>
      </c>
      <c r="K37" s="18" t="s">
        <v>65</v>
      </c>
      <c r="L37" s="18" t="s">
        <v>65</v>
      </c>
      <c r="M37" s="18" t="s">
        <v>65</v>
      </c>
      <c r="N37" s="18" t="s">
        <v>65</v>
      </c>
      <c r="O37" s="18" t="s">
        <v>65</v>
      </c>
      <c r="P37" s="18" t="s">
        <v>65</v>
      </c>
      <c r="Q37" s="18" t="s">
        <v>65</v>
      </c>
      <c r="R37" s="18" t="s">
        <v>65</v>
      </c>
      <c r="S37" s="18" t="s">
        <v>65</v>
      </c>
      <c r="T37" s="18" t="s">
        <v>65</v>
      </c>
      <c r="U37" s="18" t="s">
        <v>65</v>
      </c>
      <c r="V37" s="18" t="s">
        <v>65</v>
      </c>
      <c r="W37" s="18" t="s">
        <v>65</v>
      </c>
      <c r="X37" s="18" t="s">
        <v>65</v>
      </c>
      <c r="Y37" s="18" t="s">
        <v>65</v>
      </c>
      <c r="Z37" s="18" t="s">
        <v>65</v>
      </c>
      <c r="AA37" s="18" t="s">
        <v>65</v>
      </c>
      <c r="AB37" s="18" t="s">
        <v>65</v>
      </c>
      <c r="AC37" s="18" t="s">
        <v>65</v>
      </c>
      <c r="AD37" s="18" t="s">
        <v>65</v>
      </c>
      <c r="AE37" s="19" t="s">
        <v>65</v>
      </c>
      <c r="AF37" s="19" t="s">
        <v>65</v>
      </c>
      <c r="AG37" s="19" t="s">
        <v>65</v>
      </c>
      <c r="AH37" s="19" t="s">
        <v>65</v>
      </c>
      <c r="AI37" s="18">
        <v>0</v>
      </c>
      <c r="AJ37" s="31"/>
    </row>
    <row r="38" spans="3:36" ht="13.5" x14ac:dyDescent="0.25">
      <c r="C38" s="47" t="s">
        <v>178</v>
      </c>
      <c r="D38" s="18" t="s">
        <v>65</v>
      </c>
      <c r="E38" s="18" t="s">
        <v>65</v>
      </c>
      <c r="F38" s="18" t="s">
        <v>65</v>
      </c>
      <c r="G38" s="18" t="s">
        <v>65</v>
      </c>
      <c r="H38" s="18" t="s">
        <v>65</v>
      </c>
      <c r="I38" s="18" t="s">
        <v>65</v>
      </c>
      <c r="J38" s="18" t="s">
        <v>65</v>
      </c>
      <c r="K38" s="18" t="s">
        <v>65</v>
      </c>
      <c r="L38" s="18" t="s">
        <v>65</v>
      </c>
      <c r="M38" s="18" t="s">
        <v>65</v>
      </c>
      <c r="N38" s="18" t="s">
        <v>65</v>
      </c>
      <c r="O38" s="18" t="s">
        <v>65</v>
      </c>
      <c r="P38" s="18" t="s">
        <v>65</v>
      </c>
      <c r="Q38" s="18" t="s">
        <v>65</v>
      </c>
      <c r="R38" s="18" t="s">
        <v>65</v>
      </c>
      <c r="S38" s="18" t="s">
        <v>65</v>
      </c>
      <c r="T38" s="18" t="s">
        <v>65</v>
      </c>
      <c r="U38" s="18" t="s">
        <v>65</v>
      </c>
      <c r="V38" s="18" t="s">
        <v>65</v>
      </c>
      <c r="W38" s="18" t="s">
        <v>65</v>
      </c>
      <c r="X38" s="18" t="s">
        <v>65</v>
      </c>
      <c r="Y38" s="18" t="s">
        <v>65</v>
      </c>
      <c r="Z38" s="18" t="s">
        <v>65</v>
      </c>
      <c r="AA38" s="18" t="s">
        <v>65</v>
      </c>
      <c r="AB38" s="18" t="s">
        <v>65</v>
      </c>
      <c r="AC38" s="18" t="s">
        <v>65</v>
      </c>
      <c r="AD38" s="18" t="s">
        <v>65</v>
      </c>
      <c r="AE38" s="19" t="s">
        <v>65</v>
      </c>
      <c r="AF38" s="19" t="s">
        <v>65</v>
      </c>
      <c r="AG38" s="19" t="s">
        <v>65</v>
      </c>
      <c r="AH38" s="19" t="s">
        <v>65</v>
      </c>
      <c r="AI38" s="18">
        <v>0</v>
      </c>
      <c r="AJ38" s="31"/>
    </row>
    <row r="39" spans="3:36" ht="15" x14ac:dyDescent="0.25">
      <c r="C39" s="47" t="s">
        <v>179</v>
      </c>
      <c r="D39" s="18" t="s">
        <v>65</v>
      </c>
      <c r="E39" s="18" t="s">
        <v>65</v>
      </c>
      <c r="F39" s="18" t="s">
        <v>65</v>
      </c>
      <c r="G39" s="18" t="s">
        <v>65</v>
      </c>
      <c r="H39" s="18" t="s">
        <v>65</v>
      </c>
      <c r="I39" s="18" t="s">
        <v>65</v>
      </c>
      <c r="J39" s="18" t="s">
        <v>65</v>
      </c>
      <c r="K39" s="18" t="s">
        <v>65</v>
      </c>
      <c r="L39" s="18" t="s">
        <v>65</v>
      </c>
      <c r="M39" s="18" t="s">
        <v>65</v>
      </c>
      <c r="N39" s="18" t="s">
        <v>65</v>
      </c>
      <c r="O39" s="18" t="s">
        <v>65</v>
      </c>
      <c r="P39" s="18" t="s">
        <v>65</v>
      </c>
      <c r="Q39" s="18" t="s">
        <v>65</v>
      </c>
      <c r="R39" s="18" t="s">
        <v>65</v>
      </c>
      <c r="S39" s="18" t="s">
        <v>65</v>
      </c>
      <c r="T39" s="18" t="s">
        <v>65</v>
      </c>
      <c r="U39" s="18" t="s">
        <v>65</v>
      </c>
      <c r="V39" s="18" t="s">
        <v>65</v>
      </c>
      <c r="W39" s="18" t="s">
        <v>65</v>
      </c>
      <c r="X39" s="18" t="s">
        <v>65</v>
      </c>
      <c r="Y39" s="18" t="s">
        <v>65</v>
      </c>
      <c r="Z39" s="18" t="s">
        <v>65</v>
      </c>
      <c r="AA39" s="18" t="s">
        <v>65</v>
      </c>
      <c r="AB39" s="18" t="s">
        <v>65</v>
      </c>
      <c r="AC39" s="18" t="s">
        <v>65</v>
      </c>
      <c r="AD39" s="18" t="s">
        <v>65</v>
      </c>
      <c r="AE39" s="19" t="s">
        <v>65</v>
      </c>
      <c r="AF39" s="19" t="s">
        <v>65</v>
      </c>
      <c r="AG39" s="19" t="s">
        <v>65</v>
      </c>
      <c r="AH39" s="19" t="s">
        <v>65</v>
      </c>
      <c r="AI39" s="18">
        <v>0</v>
      </c>
      <c r="AJ39" s="31"/>
    </row>
    <row r="40" spans="3:36" ht="13.5" x14ac:dyDescent="0.25">
      <c r="C40" s="49" t="s">
        <v>180</v>
      </c>
      <c r="D40" s="14" t="s">
        <v>65</v>
      </c>
      <c r="E40" s="14" t="s">
        <v>65</v>
      </c>
      <c r="F40" s="14" t="s">
        <v>65</v>
      </c>
      <c r="G40" s="14" t="s">
        <v>65</v>
      </c>
      <c r="H40" s="14" t="s">
        <v>65</v>
      </c>
      <c r="I40" s="14" t="s">
        <v>65</v>
      </c>
      <c r="J40" s="14" t="s">
        <v>65</v>
      </c>
      <c r="K40" s="14" t="s">
        <v>65</v>
      </c>
      <c r="L40" s="14" t="s">
        <v>65</v>
      </c>
      <c r="M40" s="14" t="s">
        <v>65</v>
      </c>
      <c r="N40" s="14" t="s">
        <v>65</v>
      </c>
      <c r="O40" s="14" t="s">
        <v>65</v>
      </c>
      <c r="P40" s="14" t="s">
        <v>65</v>
      </c>
      <c r="Q40" s="14" t="s">
        <v>65</v>
      </c>
      <c r="R40" s="14" t="s">
        <v>65</v>
      </c>
      <c r="S40" s="14" t="s">
        <v>65</v>
      </c>
      <c r="T40" s="14" t="s">
        <v>65</v>
      </c>
      <c r="U40" s="14" t="s">
        <v>65</v>
      </c>
      <c r="V40" s="14" t="s">
        <v>65</v>
      </c>
      <c r="W40" s="14" t="s">
        <v>65</v>
      </c>
      <c r="X40" s="14" t="s">
        <v>65</v>
      </c>
      <c r="Y40" s="14" t="s">
        <v>65</v>
      </c>
      <c r="Z40" s="14" t="s">
        <v>65</v>
      </c>
      <c r="AA40" s="14" t="s">
        <v>65</v>
      </c>
      <c r="AB40" s="14" t="s">
        <v>65</v>
      </c>
      <c r="AC40" s="14" t="s">
        <v>65</v>
      </c>
      <c r="AD40" s="14" t="s">
        <v>65</v>
      </c>
      <c r="AE40" s="14" t="s">
        <v>65</v>
      </c>
      <c r="AF40" s="14" t="s">
        <v>65</v>
      </c>
      <c r="AG40" s="14" t="s">
        <v>65</v>
      </c>
      <c r="AH40" s="14" t="s">
        <v>65</v>
      </c>
      <c r="AI40" s="14">
        <v>0</v>
      </c>
      <c r="AJ40" s="31"/>
    </row>
    <row r="41" spans="3:36" ht="13.5" x14ac:dyDescent="0.25">
      <c r="C41" s="48" t="s">
        <v>181</v>
      </c>
      <c r="D41" s="14">
        <v>33.879341871144</v>
      </c>
      <c r="E41" s="14">
        <v>33.879341871144</v>
      </c>
      <c r="F41" s="14">
        <v>38.868300452352003</v>
      </c>
      <c r="G41" s="14">
        <v>43.857073447944003</v>
      </c>
      <c r="H41" s="14">
        <v>52.904062713384</v>
      </c>
      <c r="I41" s="14">
        <v>61.950870086123999</v>
      </c>
      <c r="J41" s="14">
        <v>79.114297385376005</v>
      </c>
      <c r="K41" s="14">
        <v>97.463146411427999</v>
      </c>
      <c r="L41" s="14">
        <v>126.117418947468</v>
      </c>
      <c r="M41" s="14">
        <v>88.735625857212</v>
      </c>
      <c r="N41" s="14">
        <v>64.187018088480002</v>
      </c>
      <c r="O41" s="14">
        <v>51.756445691435999</v>
      </c>
      <c r="P41" s="14">
        <v>64.625531018123993</v>
      </c>
      <c r="Q41" s="14">
        <v>64.479123993252003</v>
      </c>
      <c r="R41" s="14">
        <v>109.948859110968</v>
      </c>
      <c r="S41" s="14">
        <v>65.328204380916006</v>
      </c>
      <c r="T41" s="14">
        <v>96.755017818948005</v>
      </c>
      <c r="U41" s="14">
        <v>60.189785269331999</v>
      </c>
      <c r="V41" s="14">
        <v>62.924839044936</v>
      </c>
      <c r="W41" s="14">
        <v>54.673861678548</v>
      </c>
      <c r="X41" s="14">
        <v>39.175272232319998</v>
      </c>
      <c r="Y41" s="14">
        <v>33.091930782576</v>
      </c>
      <c r="Z41" s="14">
        <v>45.483367879535997</v>
      </c>
      <c r="AA41" s="14">
        <v>37.412572276524003</v>
      </c>
      <c r="AB41" s="14">
        <v>43.551097219943998</v>
      </c>
      <c r="AC41" s="14">
        <v>37.405771159415998</v>
      </c>
      <c r="AD41" s="14">
        <v>44.487313113395999</v>
      </c>
      <c r="AE41" s="14">
        <v>39.293819822963997</v>
      </c>
      <c r="AF41" s="14">
        <v>39.212449146924001</v>
      </c>
      <c r="AG41" s="14">
        <v>40.918217582747999</v>
      </c>
      <c r="AH41" s="14">
        <v>33.567849537228</v>
      </c>
      <c r="AI41" s="14">
        <v>-0.91941672037400002</v>
      </c>
      <c r="AJ41" s="31"/>
    </row>
    <row r="42" spans="3:36" ht="13.5" x14ac:dyDescent="0.25">
      <c r="C42" s="50" t="s">
        <v>182</v>
      </c>
      <c r="D42" s="18">
        <v>1.48593604698E-3</v>
      </c>
      <c r="E42" s="18">
        <v>1.48593604698E-3</v>
      </c>
      <c r="F42" s="18">
        <v>1.70475001984E-3</v>
      </c>
      <c r="G42" s="18">
        <v>1.92355585298E-3</v>
      </c>
      <c r="H42" s="18">
        <v>2.3203536277800001E-3</v>
      </c>
      <c r="I42" s="18">
        <v>2.7171434248300002E-3</v>
      </c>
      <c r="J42" s="18">
        <v>3.4699253239200002E-3</v>
      </c>
      <c r="K42" s="18">
        <v>4.2746994040099998E-3</v>
      </c>
      <c r="L42" s="18">
        <v>5.5314657433099997E-3</v>
      </c>
      <c r="M42" s="18">
        <v>3.89191341479E-3</v>
      </c>
      <c r="N42" s="18">
        <v>2.8152200915999999E-3</v>
      </c>
      <c r="O42" s="18">
        <v>2.2700195478700001E-3</v>
      </c>
      <c r="P42" s="18">
        <v>2.8344531148299999E-3</v>
      </c>
      <c r="Q42" s="18">
        <v>2.82803175409E-3</v>
      </c>
      <c r="R42" s="18">
        <v>4.8223183820599999E-3</v>
      </c>
      <c r="S42" s="18">
        <v>2.8652721219699999E-3</v>
      </c>
      <c r="T42" s="18">
        <v>4.2436411324099999E-3</v>
      </c>
      <c r="U42" s="18">
        <v>2.6399028626900001E-3</v>
      </c>
      <c r="V42" s="18">
        <v>2.7598613616200002E-3</v>
      </c>
      <c r="W42" s="18">
        <v>2.3979763894099999E-3</v>
      </c>
      <c r="X42" s="18">
        <v>1.7182136944000001E-3</v>
      </c>
      <c r="Y42" s="18">
        <v>1.4514004729200001E-3</v>
      </c>
      <c r="Z42" s="18">
        <v>1.99488455612E-3</v>
      </c>
      <c r="AA42" s="18">
        <v>1.6409022928299999E-3</v>
      </c>
      <c r="AB42" s="18">
        <v>1.9101358429799999E-3</v>
      </c>
      <c r="AC42" s="18">
        <v>1.64060399822E-3</v>
      </c>
      <c r="AD42" s="18">
        <v>1.9511979435699999E-3</v>
      </c>
      <c r="AE42" s="19">
        <v>1.72341315013E-3</v>
      </c>
      <c r="AF42" s="19">
        <v>1.7198442608300001E-3</v>
      </c>
      <c r="AG42" s="19">
        <v>1.7946586659100001E-3</v>
      </c>
      <c r="AH42" s="19">
        <v>1.47227410251E-3</v>
      </c>
      <c r="AI42" s="18">
        <v>-0.91941672037400002</v>
      </c>
      <c r="AJ42" s="31"/>
    </row>
    <row r="43" spans="3:36" ht="13.5" x14ac:dyDescent="0.25">
      <c r="C43" s="51" t="s">
        <v>183</v>
      </c>
      <c r="D43" s="14" t="s">
        <v>65</v>
      </c>
      <c r="E43" s="14" t="s">
        <v>65</v>
      </c>
      <c r="F43" s="14" t="s">
        <v>65</v>
      </c>
      <c r="G43" s="14" t="s">
        <v>65</v>
      </c>
      <c r="H43" s="14" t="s">
        <v>65</v>
      </c>
      <c r="I43" s="14" t="s">
        <v>65</v>
      </c>
      <c r="J43" s="14">
        <v>4.3743333333959997</v>
      </c>
      <c r="K43" s="14">
        <v>4.7190000000639998</v>
      </c>
      <c r="L43" s="14">
        <v>6.1086666666719998</v>
      </c>
      <c r="M43" s="14">
        <v>4.1910000000399998</v>
      </c>
      <c r="N43" s="14">
        <v>3.7876666665880001</v>
      </c>
      <c r="O43" s="14">
        <v>49.174799999999998</v>
      </c>
      <c r="P43" s="14">
        <v>21.775200000000002</v>
      </c>
      <c r="Q43" s="14">
        <v>46.577599999999997</v>
      </c>
      <c r="R43" s="14">
        <v>46.629199999999997</v>
      </c>
      <c r="S43" s="14">
        <v>18.077200000000001</v>
      </c>
      <c r="T43" s="14">
        <v>28.38</v>
      </c>
      <c r="U43" s="14">
        <v>28.207999999999998</v>
      </c>
      <c r="V43" s="14">
        <v>37.667999999999999</v>
      </c>
      <c r="W43" s="14" t="s">
        <v>65</v>
      </c>
      <c r="X43" s="14" t="s">
        <v>65</v>
      </c>
      <c r="Y43" s="14" t="s">
        <v>65</v>
      </c>
      <c r="Z43" s="14" t="s">
        <v>65</v>
      </c>
      <c r="AA43" s="14">
        <v>0.78082539687999997</v>
      </c>
      <c r="AB43" s="14">
        <v>0.90095238093600005</v>
      </c>
      <c r="AC43" s="14">
        <v>0.96101587296400004</v>
      </c>
      <c r="AD43" s="14">
        <v>0.96101587296400004</v>
      </c>
      <c r="AE43" s="14">
        <v>0.96101587296400004</v>
      </c>
      <c r="AF43" s="14">
        <v>1.2613333332759999</v>
      </c>
      <c r="AG43" s="14">
        <v>1.321396825476</v>
      </c>
      <c r="AH43" s="14">
        <v>1.3814603175039999</v>
      </c>
      <c r="AI43" s="14">
        <v>100</v>
      </c>
      <c r="AJ43" s="31"/>
    </row>
    <row r="44" spans="3:36" ht="13.5" x14ac:dyDescent="0.25">
      <c r="C44" s="52" t="s">
        <v>184</v>
      </c>
      <c r="D44" s="18" t="s">
        <v>65</v>
      </c>
      <c r="E44" s="18" t="s">
        <v>65</v>
      </c>
      <c r="F44" s="18" t="s">
        <v>65</v>
      </c>
      <c r="G44" s="18" t="s">
        <v>65</v>
      </c>
      <c r="H44" s="18" t="s">
        <v>65</v>
      </c>
      <c r="I44" s="18" t="s">
        <v>65</v>
      </c>
      <c r="J44" s="18">
        <v>2.5432170543000001E-4</v>
      </c>
      <c r="K44" s="18">
        <v>2.7436046511999999E-4</v>
      </c>
      <c r="L44" s="18">
        <v>3.5515503875999999E-4</v>
      </c>
      <c r="M44" s="18">
        <v>2.4366279070000001E-4</v>
      </c>
      <c r="N44" s="18">
        <v>2.2021317829000001E-4</v>
      </c>
      <c r="O44" s="18">
        <v>2.859E-3</v>
      </c>
      <c r="P44" s="18">
        <v>1.266E-3</v>
      </c>
      <c r="Q44" s="18">
        <v>2.7079999999999999E-3</v>
      </c>
      <c r="R44" s="18">
        <v>2.7109999999999999E-3</v>
      </c>
      <c r="S44" s="18">
        <v>1.0510000000000001E-3</v>
      </c>
      <c r="T44" s="18">
        <v>1.65E-3</v>
      </c>
      <c r="U44" s="18">
        <v>1.64E-3</v>
      </c>
      <c r="V44" s="18">
        <v>2.1900000000000001E-3</v>
      </c>
      <c r="W44" s="18" t="s">
        <v>65</v>
      </c>
      <c r="X44" s="18" t="s">
        <v>65</v>
      </c>
      <c r="Y44" s="18" t="s">
        <v>65</v>
      </c>
      <c r="Z44" s="18" t="s">
        <v>65</v>
      </c>
      <c r="AA44" s="18">
        <v>4.53968254E-5</v>
      </c>
      <c r="AB44" s="18">
        <v>5.2380952380000001E-5</v>
      </c>
      <c r="AC44" s="18">
        <v>5.5873015870000001E-5</v>
      </c>
      <c r="AD44" s="18">
        <v>5.5873015870000001E-5</v>
      </c>
      <c r="AE44" s="19">
        <v>5.5873015870000001E-5</v>
      </c>
      <c r="AF44" s="19">
        <v>7.3333333330000006E-5</v>
      </c>
      <c r="AG44" s="19">
        <v>7.6825396829999996E-5</v>
      </c>
      <c r="AH44" s="19">
        <v>8.0317460319999996E-5</v>
      </c>
      <c r="AI44" s="18">
        <v>100</v>
      </c>
      <c r="AJ44" s="31"/>
    </row>
    <row r="45" spans="3:36" s="55" customFormat="1" x14ac:dyDescent="0.25"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31"/>
    </row>
    <row r="46" spans="3:36" x14ac:dyDescent="0.25">
      <c r="C46" s="37" t="s">
        <v>123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3:36" x14ac:dyDescent="0.25">
      <c r="C47" s="3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3:36" x14ac:dyDescent="0.25">
      <c r="C48" s="7" t="s">
        <v>201</v>
      </c>
    </row>
    <row r="49" spans="3:34" x14ac:dyDescent="0.25">
      <c r="C49" s="7" t="s">
        <v>1</v>
      </c>
      <c r="D49" s="56" t="str">
        <f>D5</f>
        <v>Base year(1)</v>
      </c>
      <c r="E49" s="58">
        <v>1990</v>
      </c>
      <c r="F49" s="58">
        <f>E49+1</f>
        <v>1991</v>
      </c>
      <c r="G49" s="58">
        <f t="shared" ref="G49:AH49" si="0">F49+1</f>
        <v>1992</v>
      </c>
      <c r="H49" s="58">
        <f t="shared" si="0"/>
        <v>1993</v>
      </c>
      <c r="I49" s="58">
        <f t="shared" si="0"/>
        <v>1994</v>
      </c>
      <c r="J49" s="58">
        <f t="shared" si="0"/>
        <v>1995</v>
      </c>
      <c r="K49" s="58">
        <f t="shared" si="0"/>
        <v>1996</v>
      </c>
      <c r="L49" s="58">
        <f t="shared" si="0"/>
        <v>1997</v>
      </c>
      <c r="M49" s="58">
        <f t="shared" si="0"/>
        <v>1998</v>
      </c>
      <c r="N49" s="58">
        <f t="shared" si="0"/>
        <v>1999</v>
      </c>
      <c r="O49" s="58">
        <f t="shared" si="0"/>
        <v>2000</v>
      </c>
      <c r="P49" s="58">
        <f t="shared" si="0"/>
        <v>2001</v>
      </c>
      <c r="Q49" s="58">
        <f t="shared" si="0"/>
        <v>2002</v>
      </c>
      <c r="R49" s="58">
        <f t="shared" si="0"/>
        <v>2003</v>
      </c>
      <c r="S49" s="58">
        <f t="shared" si="0"/>
        <v>2004</v>
      </c>
      <c r="T49" s="58">
        <f t="shared" si="0"/>
        <v>2005</v>
      </c>
      <c r="U49" s="58">
        <f t="shared" si="0"/>
        <v>2006</v>
      </c>
      <c r="V49" s="58">
        <f t="shared" si="0"/>
        <v>2007</v>
      </c>
      <c r="W49" s="58">
        <f t="shared" si="0"/>
        <v>2008</v>
      </c>
      <c r="X49" s="58">
        <f t="shared" si="0"/>
        <v>2009</v>
      </c>
      <c r="Y49" s="58">
        <f t="shared" si="0"/>
        <v>2010</v>
      </c>
      <c r="Z49" s="58">
        <f t="shared" si="0"/>
        <v>2011</v>
      </c>
      <c r="AA49" s="58">
        <f t="shared" si="0"/>
        <v>2012</v>
      </c>
      <c r="AB49" s="58">
        <f t="shared" si="0"/>
        <v>2013</v>
      </c>
      <c r="AC49" s="58">
        <f t="shared" si="0"/>
        <v>2014</v>
      </c>
      <c r="AD49" s="58">
        <f t="shared" si="0"/>
        <v>2015</v>
      </c>
      <c r="AE49" s="58">
        <f t="shared" si="0"/>
        <v>2016</v>
      </c>
      <c r="AF49" s="58">
        <f t="shared" si="0"/>
        <v>2017</v>
      </c>
      <c r="AG49" s="58">
        <f t="shared" si="0"/>
        <v>2018</v>
      </c>
      <c r="AH49" s="58">
        <f t="shared" si="0"/>
        <v>2019</v>
      </c>
    </row>
    <row r="50" spans="3:34" x14ac:dyDescent="0.25">
      <c r="C50" s="57" t="str">
        <f>C7</f>
        <v xml:space="preserve">Emissions of HFCs and PFCs -  (kt CO2 equivalent) </v>
      </c>
      <c r="D50" s="57">
        <f>D7</f>
        <v>0.71177000000000001</v>
      </c>
      <c r="E50" s="57">
        <f t="shared" ref="E50:AH50" si="1">E7</f>
        <v>0.71177000000000001</v>
      </c>
      <c r="F50" s="57">
        <f t="shared" si="1"/>
        <v>10.632197</v>
      </c>
      <c r="G50" s="57">
        <f t="shared" si="1"/>
        <v>20.552624000000002</v>
      </c>
      <c r="H50" s="57">
        <f t="shared" si="1"/>
        <v>53.52111446839789</v>
      </c>
      <c r="I50" s="57">
        <f t="shared" si="1"/>
        <v>87.600279560596292</v>
      </c>
      <c r="J50" s="57">
        <f t="shared" si="1"/>
        <v>142.83706212587947</v>
      </c>
      <c r="K50" s="57">
        <f t="shared" si="1"/>
        <v>224.01225525207815</v>
      </c>
      <c r="L50" s="57">
        <f t="shared" si="1"/>
        <v>327.48944566458158</v>
      </c>
      <c r="M50" s="57">
        <f t="shared" si="1"/>
        <v>280.37029864603096</v>
      </c>
      <c r="N50" s="57">
        <f t="shared" si="1"/>
        <v>464.09283137976121</v>
      </c>
      <c r="O50" s="57">
        <f t="shared" si="1"/>
        <v>667.72642773994971</v>
      </c>
      <c r="P50" s="57">
        <f t="shared" si="1"/>
        <v>694.19595006410805</v>
      </c>
      <c r="Q50" s="57">
        <f t="shared" si="1"/>
        <v>660.06120115558383</v>
      </c>
      <c r="R50" s="57">
        <f t="shared" si="1"/>
        <v>828.51481185229522</v>
      </c>
      <c r="S50" s="57">
        <f t="shared" si="1"/>
        <v>915.17848206251983</v>
      </c>
      <c r="T50" s="57">
        <f t="shared" si="1"/>
        <v>1071.9248497335871</v>
      </c>
      <c r="U50" s="57">
        <f t="shared" si="1"/>
        <v>1090.7705341266483</v>
      </c>
      <c r="V50" s="57">
        <f t="shared" si="1"/>
        <v>1074.3563488764328</v>
      </c>
      <c r="W50" s="57">
        <f t="shared" si="1"/>
        <v>1132.5163552013132</v>
      </c>
      <c r="X50" s="57">
        <f t="shared" si="1"/>
        <v>1112.0920640075346</v>
      </c>
      <c r="Y50" s="57">
        <f t="shared" si="1"/>
        <v>1094.7224150205425</v>
      </c>
      <c r="Z50" s="57">
        <f t="shared" si="1"/>
        <v>1100.1449485328224</v>
      </c>
      <c r="AA50" s="57">
        <f t="shared" si="1"/>
        <v>1084.5100074559284</v>
      </c>
      <c r="AB50" s="57">
        <f t="shared" si="1"/>
        <v>1114.647713565756</v>
      </c>
      <c r="AC50" s="57">
        <f t="shared" si="1"/>
        <v>1193.5654881807777</v>
      </c>
      <c r="AD50" s="57">
        <f t="shared" si="1"/>
        <v>1189.9919959692115</v>
      </c>
      <c r="AE50" s="57">
        <f t="shared" si="1"/>
        <v>1280.2836969090986</v>
      </c>
      <c r="AF50" s="57">
        <f t="shared" si="1"/>
        <v>1205.8466914330752</v>
      </c>
      <c r="AG50" s="57">
        <f t="shared" si="1"/>
        <v>895.36973493643211</v>
      </c>
      <c r="AH50" s="57">
        <f t="shared" si="1"/>
        <v>881.52056613668515</v>
      </c>
    </row>
    <row r="51" spans="3:34" x14ac:dyDescent="0.25">
      <c r="C51" s="57" t="str">
        <f>C41</f>
        <v>Emissions of  SF6 -  (kt CO2 equivalent)</v>
      </c>
      <c r="D51" s="57">
        <f>D41</f>
        <v>33.879341871144</v>
      </c>
      <c r="E51" s="57">
        <f t="shared" ref="E51:AH51" si="2">E41</f>
        <v>33.879341871144</v>
      </c>
      <c r="F51" s="57">
        <f t="shared" si="2"/>
        <v>38.868300452352003</v>
      </c>
      <c r="G51" s="57">
        <f t="shared" si="2"/>
        <v>43.857073447944003</v>
      </c>
      <c r="H51" s="57">
        <f t="shared" si="2"/>
        <v>52.904062713384</v>
      </c>
      <c r="I51" s="57">
        <f t="shared" si="2"/>
        <v>61.950870086123999</v>
      </c>
      <c r="J51" s="57">
        <f t="shared" si="2"/>
        <v>79.114297385376005</v>
      </c>
      <c r="K51" s="57">
        <f t="shared" si="2"/>
        <v>97.463146411427999</v>
      </c>
      <c r="L51" s="57">
        <f t="shared" si="2"/>
        <v>126.117418947468</v>
      </c>
      <c r="M51" s="57">
        <f t="shared" si="2"/>
        <v>88.735625857212</v>
      </c>
      <c r="N51" s="57">
        <f t="shared" si="2"/>
        <v>64.187018088480002</v>
      </c>
      <c r="O51" s="57">
        <f t="shared" si="2"/>
        <v>51.756445691435999</v>
      </c>
      <c r="P51" s="57">
        <f t="shared" si="2"/>
        <v>64.625531018123993</v>
      </c>
      <c r="Q51" s="57">
        <f t="shared" si="2"/>
        <v>64.479123993252003</v>
      </c>
      <c r="R51" s="57">
        <f t="shared" si="2"/>
        <v>109.948859110968</v>
      </c>
      <c r="S51" s="57">
        <f t="shared" si="2"/>
        <v>65.328204380916006</v>
      </c>
      <c r="T51" s="57">
        <f t="shared" si="2"/>
        <v>96.755017818948005</v>
      </c>
      <c r="U51" s="57">
        <f t="shared" si="2"/>
        <v>60.189785269331999</v>
      </c>
      <c r="V51" s="57">
        <f t="shared" si="2"/>
        <v>62.924839044936</v>
      </c>
      <c r="W51" s="57">
        <f t="shared" si="2"/>
        <v>54.673861678548</v>
      </c>
      <c r="X51" s="57">
        <f t="shared" si="2"/>
        <v>39.175272232319998</v>
      </c>
      <c r="Y51" s="57">
        <f t="shared" si="2"/>
        <v>33.091930782576</v>
      </c>
      <c r="Z51" s="57">
        <f t="shared" si="2"/>
        <v>45.483367879535997</v>
      </c>
      <c r="AA51" s="57">
        <f t="shared" si="2"/>
        <v>37.412572276524003</v>
      </c>
      <c r="AB51" s="57">
        <f t="shared" si="2"/>
        <v>43.551097219943998</v>
      </c>
      <c r="AC51" s="57">
        <f t="shared" si="2"/>
        <v>37.405771159415998</v>
      </c>
      <c r="AD51" s="57">
        <f t="shared" si="2"/>
        <v>44.487313113395999</v>
      </c>
      <c r="AE51" s="57">
        <f t="shared" si="2"/>
        <v>39.293819822963997</v>
      </c>
      <c r="AF51" s="57">
        <f t="shared" si="2"/>
        <v>39.212449146924001</v>
      </c>
      <c r="AG51" s="57">
        <f t="shared" si="2"/>
        <v>40.918217582747999</v>
      </c>
      <c r="AH51" s="57">
        <f t="shared" si="2"/>
        <v>33.567849537228</v>
      </c>
    </row>
    <row r="52" spans="3:34" x14ac:dyDescent="0.25">
      <c r="C52" s="57" t="str">
        <f>C43</f>
        <v>Emissions of NF3 - (kt CO2 equivalent)</v>
      </c>
      <c r="D52" s="57">
        <f>IF(ISNUMBER(D43),D43,0)</f>
        <v>0</v>
      </c>
      <c r="E52" s="57">
        <f t="shared" ref="E52:AH52" si="3">IF(ISNUMBER(E43),E43,0)</f>
        <v>0</v>
      </c>
      <c r="F52" s="57">
        <f t="shared" si="3"/>
        <v>0</v>
      </c>
      <c r="G52" s="57">
        <f t="shared" si="3"/>
        <v>0</v>
      </c>
      <c r="H52" s="57">
        <f t="shared" si="3"/>
        <v>0</v>
      </c>
      <c r="I52" s="57">
        <f t="shared" si="3"/>
        <v>0</v>
      </c>
      <c r="J52" s="57">
        <f t="shared" si="3"/>
        <v>4.3743333333959997</v>
      </c>
      <c r="K52" s="57">
        <f t="shared" si="3"/>
        <v>4.7190000000639998</v>
      </c>
      <c r="L52" s="57">
        <f t="shared" si="3"/>
        <v>6.1086666666719998</v>
      </c>
      <c r="M52" s="57">
        <f t="shared" si="3"/>
        <v>4.1910000000399998</v>
      </c>
      <c r="N52" s="57">
        <f t="shared" si="3"/>
        <v>3.7876666665880001</v>
      </c>
      <c r="O52" s="57">
        <f t="shared" si="3"/>
        <v>49.174799999999998</v>
      </c>
      <c r="P52" s="57">
        <f t="shared" si="3"/>
        <v>21.775200000000002</v>
      </c>
      <c r="Q52" s="57">
        <f t="shared" si="3"/>
        <v>46.577599999999997</v>
      </c>
      <c r="R52" s="57">
        <f t="shared" si="3"/>
        <v>46.629199999999997</v>
      </c>
      <c r="S52" s="57">
        <f t="shared" si="3"/>
        <v>18.077200000000001</v>
      </c>
      <c r="T52" s="57">
        <f t="shared" si="3"/>
        <v>28.38</v>
      </c>
      <c r="U52" s="57">
        <f t="shared" si="3"/>
        <v>28.207999999999998</v>
      </c>
      <c r="V52" s="57">
        <f t="shared" si="3"/>
        <v>37.667999999999999</v>
      </c>
      <c r="W52" s="57">
        <f t="shared" si="3"/>
        <v>0</v>
      </c>
      <c r="X52" s="57">
        <f t="shared" si="3"/>
        <v>0</v>
      </c>
      <c r="Y52" s="57">
        <f t="shared" si="3"/>
        <v>0</v>
      </c>
      <c r="Z52" s="57">
        <f t="shared" si="3"/>
        <v>0</v>
      </c>
      <c r="AA52" s="57">
        <f t="shared" si="3"/>
        <v>0.78082539687999997</v>
      </c>
      <c r="AB52" s="57">
        <f t="shared" si="3"/>
        <v>0.90095238093600005</v>
      </c>
      <c r="AC52" s="57">
        <f t="shared" si="3"/>
        <v>0.96101587296400004</v>
      </c>
      <c r="AD52" s="57">
        <f t="shared" si="3"/>
        <v>0.96101587296400004</v>
      </c>
      <c r="AE52" s="57">
        <f t="shared" si="3"/>
        <v>0.96101587296400004</v>
      </c>
      <c r="AF52" s="57">
        <f t="shared" si="3"/>
        <v>1.2613333332759999</v>
      </c>
      <c r="AG52" s="57">
        <f t="shared" si="3"/>
        <v>1.321396825476</v>
      </c>
      <c r="AH52" s="57">
        <f t="shared" si="3"/>
        <v>1.3814603175039999</v>
      </c>
    </row>
    <row r="53" spans="3:34" x14ac:dyDescent="0.25">
      <c r="C53" s="7" t="s">
        <v>185</v>
      </c>
      <c r="D53" s="57">
        <f>SUM(D50:D52)</f>
        <v>34.591111871144001</v>
      </c>
      <c r="E53" s="57">
        <f t="shared" ref="E53:AH53" si="4">SUM(E50:E52)</f>
        <v>34.591111871144001</v>
      </c>
      <c r="F53" s="57">
        <f t="shared" si="4"/>
        <v>49.500497452352</v>
      </c>
      <c r="G53" s="57">
        <f t="shared" si="4"/>
        <v>64.409697447944012</v>
      </c>
      <c r="H53" s="57">
        <f t="shared" si="4"/>
        <v>106.42517718178189</v>
      </c>
      <c r="I53" s="57">
        <f t="shared" si="4"/>
        <v>149.55114964672029</v>
      </c>
      <c r="J53" s="57">
        <f t="shared" si="4"/>
        <v>226.32569284465148</v>
      </c>
      <c r="K53" s="57">
        <f t="shared" si="4"/>
        <v>326.19440166357015</v>
      </c>
      <c r="L53" s="57">
        <f t="shared" si="4"/>
        <v>459.71553127872153</v>
      </c>
      <c r="M53" s="57">
        <f t="shared" si="4"/>
        <v>373.29692450328292</v>
      </c>
      <c r="N53" s="57">
        <f t="shared" si="4"/>
        <v>532.06751613482925</v>
      </c>
      <c r="O53" s="57">
        <f t="shared" si="4"/>
        <v>768.65767343138577</v>
      </c>
      <c r="P53" s="57">
        <f t="shared" si="4"/>
        <v>780.59668108223207</v>
      </c>
      <c r="Q53" s="57">
        <f t="shared" si="4"/>
        <v>771.11792514883575</v>
      </c>
      <c r="R53" s="57">
        <f t="shared" si="4"/>
        <v>985.09287096326318</v>
      </c>
      <c r="S53" s="57">
        <f t="shared" si="4"/>
        <v>998.58388644343574</v>
      </c>
      <c r="T53" s="57">
        <f t="shared" si="4"/>
        <v>1197.0598675525353</v>
      </c>
      <c r="U53" s="57">
        <f t="shared" si="4"/>
        <v>1179.1683193959805</v>
      </c>
      <c r="V53" s="57">
        <f t="shared" si="4"/>
        <v>1174.9491879213688</v>
      </c>
      <c r="W53" s="57">
        <f t="shared" si="4"/>
        <v>1187.1902168798613</v>
      </c>
      <c r="X53" s="57">
        <f t="shared" si="4"/>
        <v>1151.2673362398546</v>
      </c>
      <c r="Y53" s="57">
        <f t="shared" si="4"/>
        <v>1127.8143458031184</v>
      </c>
      <c r="Z53" s="57">
        <f t="shared" si="4"/>
        <v>1145.6283164123583</v>
      </c>
      <c r="AA53" s="57">
        <f t="shared" si="4"/>
        <v>1122.7034051293324</v>
      </c>
      <c r="AB53" s="57">
        <f t="shared" si="4"/>
        <v>1159.099763166636</v>
      </c>
      <c r="AC53" s="57">
        <f t="shared" si="4"/>
        <v>1231.9322752131577</v>
      </c>
      <c r="AD53" s="57">
        <f t="shared" si="4"/>
        <v>1235.4403249555714</v>
      </c>
      <c r="AE53" s="57">
        <f t="shared" si="4"/>
        <v>1320.5385326050266</v>
      </c>
      <c r="AF53" s="57">
        <f t="shared" si="4"/>
        <v>1246.3204739132752</v>
      </c>
      <c r="AG53" s="57">
        <f t="shared" si="4"/>
        <v>937.60934934465604</v>
      </c>
      <c r="AH53" s="57">
        <f t="shared" si="4"/>
        <v>916.4698759914171</v>
      </c>
    </row>
    <row r="58" spans="3:34" ht="34.5" x14ac:dyDescent="0.25">
      <c r="D58" s="61" t="s">
        <v>1</v>
      </c>
      <c r="E58" s="61" t="s">
        <v>202</v>
      </c>
      <c r="F58" s="61" t="s">
        <v>203</v>
      </c>
      <c r="G58" s="61" t="s">
        <v>204</v>
      </c>
      <c r="H58" s="61" t="s">
        <v>185</v>
      </c>
    </row>
    <row r="59" spans="3:34" x14ac:dyDescent="0.25">
      <c r="D59" s="7" t="s">
        <v>194</v>
      </c>
      <c r="E59" s="64">
        <v>0.71177000000000001</v>
      </c>
      <c r="F59" s="64">
        <v>33.879341871144</v>
      </c>
      <c r="G59" s="64">
        <v>0</v>
      </c>
      <c r="H59" s="64">
        <v>34.591111871144001</v>
      </c>
    </row>
    <row r="60" spans="3:34" x14ac:dyDescent="0.25">
      <c r="D60" s="7">
        <v>1990</v>
      </c>
      <c r="E60" s="64">
        <v>0.71177000000000001</v>
      </c>
      <c r="F60" s="64">
        <v>33.879341871144</v>
      </c>
      <c r="G60" s="64">
        <v>0</v>
      </c>
      <c r="H60" s="64">
        <v>34.591111871144001</v>
      </c>
    </row>
    <row r="61" spans="3:34" x14ac:dyDescent="0.25">
      <c r="D61" s="7">
        <v>1991</v>
      </c>
      <c r="E61" s="64">
        <v>10.632197</v>
      </c>
      <c r="F61" s="64">
        <v>38.868300452352003</v>
      </c>
      <c r="G61" s="64">
        <v>0</v>
      </c>
      <c r="H61" s="64">
        <v>49.500497452352</v>
      </c>
    </row>
    <row r="62" spans="3:34" x14ac:dyDescent="0.25">
      <c r="D62" s="7">
        <v>1992</v>
      </c>
      <c r="E62" s="64">
        <v>20.552624000000002</v>
      </c>
      <c r="F62" s="64">
        <v>43.857073447944003</v>
      </c>
      <c r="G62" s="64">
        <v>0</v>
      </c>
      <c r="H62" s="64">
        <v>64.409697447944012</v>
      </c>
    </row>
    <row r="63" spans="3:34" x14ac:dyDescent="0.25">
      <c r="D63" s="7">
        <v>1993</v>
      </c>
      <c r="E63" s="64">
        <v>53.52111446839789</v>
      </c>
      <c r="F63" s="64">
        <v>52.904062713384</v>
      </c>
      <c r="G63" s="64">
        <v>0</v>
      </c>
      <c r="H63" s="64">
        <v>106.42517718178189</v>
      </c>
    </row>
    <row r="64" spans="3:34" x14ac:dyDescent="0.25">
      <c r="D64" s="7">
        <v>1994</v>
      </c>
      <c r="E64" s="64">
        <v>87.600279560596292</v>
      </c>
      <c r="F64" s="64">
        <v>61.950870086123999</v>
      </c>
      <c r="G64" s="64">
        <v>0</v>
      </c>
      <c r="H64" s="64">
        <v>149.55114964672029</v>
      </c>
    </row>
    <row r="65" spans="4:8" x14ac:dyDescent="0.25">
      <c r="D65" s="7">
        <v>1995</v>
      </c>
      <c r="E65" s="64">
        <v>142.83706212587947</v>
      </c>
      <c r="F65" s="64">
        <v>79.114297385376005</v>
      </c>
      <c r="G65" s="64">
        <v>4.3743333333959997</v>
      </c>
      <c r="H65" s="64">
        <v>226.32569284465148</v>
      </c>
    </row>
    <row r="66" spans="4:8" x14ac:dyDescent="0.25">
      <c r="D66" s="7">
        <v>1996</v>
      </c>
      <c r="E66" s="64">
        <v>224.01225525207815</v>
      </c>
      <c r="F66" s="64">
        <v>97.463146411427999</v>
      </c>
      <c r="G66" s="64">
        <v>4.7190000000639998</v>
      </c>
      <c r="H66" s="64">
        <v>326.19440166357015</v>
      </c>
    </row>
    <row r="67" spans="4:8" x14ac:dyDescent="0.25">
      <c r="D67" s="7">
        <v>1997</v>
      </c>
      <c r="E67" s="64">
        <v>327.48944566458158</v>
      </c>
      <c r="F67" s="64">
        <v>126.117418947468</v>
      </c>
      <c r="G67" s="64">
        <v>6.1086666666719998</v>
      </c>
      <c r="H67" s="64">
        <v>459.71553127872153</v>
      </c>
    </row>
    <row r="68" spans="4:8" x14ac:dyDescent="0.25">
      <c r="D68" s="7">
        <v>1998</v>
      </c>
      <c r="E68" s="64">
        <v>280.37029864603096</v>
      </c>
      <c r="F68" s="64">
        <v>88.735625857212</v>
      </c>
      <c r="G68" s="64">
        <v>4.1910000000399998</v>
      </c>
      <c r="H68" s="64">
        <v>373.29692450328292</v>
      </c>
    </row>
    <row r="69" spans="4:8" x14ac:dyDescent="0.25">
      <c r="D69" s="7">
        <v>1999</v>
      </c>
      <c r="E69" s="64">
        <v>464.09283137976121</v>
      </c>
      <c r="F69" s="64">
        <v>64.187018088480002</v>
      </c>
      <c r="G69" s="64">
        <v>3.7876666665880001</v>
      </c>
      <c r="H69" s="64">
        <v>532.06751613482925</v>
      </c>
    </row>
    <row r="70" spans="4:8" x14ac:dyDescent="0.25">
      <c r="D70" s="7">
        <v>2000</v>
      </c>
      <c r="E70" s="64">
        <v>667.72642773994971</v>
      </c>
      <c r="F70" s="64">
        <v>51.756445691435999</v>
      </c>
      <c r="G70" s="64">
        <v>49.174799999999998</v>
      </c>
      <c r="H70" s="64">
        <v>768.65767343138577</v>
      </c>
    </row>
    <row r="71" spans="4:8" x14ac:dyDescent="0.25">
      <c r="D71" s="7">
        <v>2001</v>
      </c>
      <c r="E71" s="64">
        <v>694.19595006410805</v>
      </c>
      <c r="F71" s="64">
        <v>64.625531018123993</v>
      </c>
      <c r="G71" s="64">
        <v>21.775200000000002</v>
      </c>
      <c r="H71" s="64">
        <v>780.59668108223207</v>
      </c>
    </row>
    <row r="72" spans="4:8" x14ac:dyDescent="0.25">
      <c r="D72" s="7">
        <v>2002</v>
      </c>
      <c r="E72" s="64">
        <v>660.06120115558383</v>
      </c>
      <c r="F72" s="64">
        <v>64.479123993252003</v>
      </c>
      <c r="G72" s="64">
        <v>46.577599999999997</v>
      </c>
      <c r="H72" s="64">
        <v>771.11792514883575</v>
      </c>
    </row>
    <row r="73" spans="4:8" x14ac:dyDescent="0.25">
      <c r="D73" s="7">
        <v>2003</v>
      </c>
      <c r="E73" s="64">
        <v>828.51481185229522</v>
      </c>
      <c r="F73" s="64">
        <v>109.948859110968</v>
      </c>
      <c r="G73" s="64">
        <v>46.629199999999997</v>
      </c>
      <c r="H73" s="64">
        <v>985.09287096326318</v>
      </c>
    </row>
    <row r="74" spans="4:8" x14ac:dyDescent="0.25">
      <c r="D74" s="7">
        <v>2004</v>
      </c>
      <c r="E74" s="64">
        <v>915.17848206251983</v>
      </c>
      <c r="F74" s="64">
        <v>65.328204380916006</v>
      </c>
      <c r="G74" s="64">
        <v>18.077200000000001</v>
      </c>
      <c r="H74" s="64">
        <v>998.58388644343574</v>
      </c>
    </row>
    <row r="75" spans="4:8" x14ac:dyDescent="0.25">
      <c r="D75" s="7">
        <v>2005</v>
      </c>
      <c r="E75" s="64">
        <v>1071.9248497335871</v>
      </c>
      <c r="F75" s="64">
        <v>96.755017818948005</v>
      </c>
      <c r="G75" s="64">
        <v>28.38</v>
      </c>
      <c r="H75" s="64">
        <v>1197.0598675525353</v>
      </c>
    </row>
    <row r="76" spans="4:8" x14ac:dyDescent="0.25">
      <c r="D76" s="7">
        <v>2006</v>
      </c>
      <c r="E76" s="64">
        <v>1090.7705341266483</v>
      </c>
      <c r="F76" s="64">
        <v>60.189785269331999</v>
      </c>
      <c r="G76" s="64">
        <v>28.207999999999998</v>
      </c>
      <c r="H76" s="64">
        <v>1179.1683193959805</v>
      </c>
    </row>
    <row r="77" spans="4:8" x14ac:dyDescent="0.25">
      <c r="D77" s="7">
        <v>2007</v>
      </c>
      <c r="E77" s="64">
        <v>1074.3563488764328</v>
      </c>
      <c r="F77" s="64">
        <v>62.924839044936</v>
      </c>
      <c r="G77" s="64">
        <v>37.667999999999999</v>
      </c>
      <c r="H77" s="64">
        <v>1174.9491879213688</v>
      </c>
    </row>
    <row r="78" spans="4:8" x14ac:dyDescent="0.25">
      <c r="D78" s="7">
        <v>2008</v>
      </c>
      <c r="E78" s="64">
        <v>1132.5163552013132</v>
      </c>
      <c r="F78" s="64">
        <v>54.673861678548</v>
      </c>
      <c r="G78" s="64">
        <v>0</v>
      </c>
      <c r="H78" s="64">
        <v>1187.1902168798613</v>
      </c>
    </row>
    <row r="79" spans="4:8" x14ac:dyDescent="0.25">
      <c r="D79" s="7">
        <v>2009</v>
      </c>
      <c r="E79" s="64">
        <v>1112.0920640075346</v>
      </c>
      <c r="F79" s="64">
        <v>39.175272232319998</v>
      </c>
      <c r="G79" s="64">
        <v>0</v>
      </c>
      <c r="H79" s="64">
        <v>1151.2673362398546</v>
      </c>
    </row>
    <row r="80" spans="4:8" x14ac:dyDescent="0.25">
      <c r="D80" s="7">
        <v>2010</v>
      </c>
      <c r="E80" s="64">
        <v>1094.7224150205425</v>
      </c>
      <c r="F80" s="64">
        <v>33.091930782576</v>
      </c>
      <c r="G80" s="64">
        <v>0</v>
      </c>
      <c r="H80" s="64">
        <v>1127.8143458031184</v>
      </c>
    </row>
    <row r="81" spans="4:9" x14ac:dyDescent="0.25">
      <c r="D81" s="7">
        <v>2011</v>
      </c>
      <c r="E81" s="64">
        <v>1100.1449485328224</v>
      </c>
      <c r="F81" s="64">
        <v>45.483367879535997</v>
      </c>
      <c r="G81" s="64">
        <v>0</v>
      </c>
      <c r="H81" s="64">
        <v>1145.6283164123583</v>
      </c>
    </row>
    <row r="82" spans="4:9" x14ac:dyDescent="0.25">
      <c r="D82" s="7">
        <v>2012</v>
      </c>
      <c r="E82" s="64">
        <v>1084.5100074559284</v>
      </c>
      <c r="F82" s="64">
        <v>37.412572276524003</v>
      </c>
      <c r="G82" s="64">
        <v>0.78082539687999997</v>
      </c>
      <c r="H82" s="64">
        <v>1122.7034051293324</v>
      </c>
    </row>
    <row r="83" spans="4:9" x14ac:dyDescent="0.25">
      <c r="D83" s="7">
        <v>2013</v>
      </c>
      <c r="E83" s="64">
        <v>1114.647713565756</v>
      </c>
      <c r="F83" s="64">
        <v>43.551097219943998</v>
      </c>
      <c r="G83" s="64">
        <v>0.90095238093600005</v>
      </c>
      <c r="H83" s="64">
        <v>1159.099763166636</v>
      </c>
    </row>
    <row r="84" spans="4:9" x14ac:dyDescent="0.25">
      <c r="D84" s="7">
        <v>2014</v>
      </c>
      <c r="E84" s="64">
        <v>1193.5654881807777</v>
      </c>
      <c r="F84" s="64">
        <v>37.405771159415998</v>
      </c>
      <c r="G84" s="64">
        <v>0.96101587296400004</v>
      </c>
      <c r="H84" s="64">
        <v>1231.9322752131577</v>
      </c>
    </row>
    <row r="85" spans="4:9" x14ac:dyDescent="0.25">
      <c r="D85" s="7">
        <v>2015</v>
      </c>
      <c r="E85" s="64">
        <v>1189.9919959692115</v>
      </c>
      <c r="F85" s="64">
        <v>44.487313113395999</v>
      </c>
      <c r="G85" s="64">
        <v>0.96101587296400004</v>
      </c>
      <c r="H85" s="64">
        <v>1235.4403249555714</v>
      </c>
    </row>
    <row r="86" spans="4:9" x14ac:dyDescent="0.25">
      <c r="D86" s="7">
        <v>2016</v>
      </c>
      <c r="E86" s="64">
        <v>1280.2836969090986</v>
      </c>
      <c r="F86" s="64">
        <v>39.293819822963997</v>
      </c>
      <c r="G86" s="64">
        <v>0.96101587296400004</v>
      </c>
      <c r="H86" s="64">
        <v>1320.5385326050266</v>
      </c>
    </row>
    <row r="87" spans="4:9" x14ac:dyDescent="0.25">
      <c r="D87" s="7">
        <v>2017</v>
      </c>
      <c r="E87" s="64">
        <v>1205.8466914330752</v>
      </c>
      <c r="F87" s="64">
        <v>39.212449146924001</v>
      </c>
      <c r="G87" s="64">
        <v>1.2613333332759999</v>
      </c>
      <c r="H87" s="64">
        <v>1246.3204739132752</v>
      </c>
    </row>
    <row r="88" spans="4:9" x14ac:dyDescent="0.25">
      <c r="D88" s="7">
        <v>2018</v>
      </c>
      <c r="E88" s="64">
        <v>895.36973493643211</v>
      </c>
      <c r="F88" s="64">
        <v>40.918217582747999</v>
      </c>
      <c r="G88" s="64">
        <v>1.321396825476</v>
      </c>
      <c r="H88" s="64">
        <v>937.60934934465604</v>
      </c>
    </row>
    <row r="89" spans="4:9" x14ac:dyDescent="0.25">
      <c r="D89" s="7">
        <v>2019</v>
      </c>
      <c r="E89" s="64">
        <v>881.52056613668515</v>
      </c>
      <c r="F89" s="64">
        <v>33.567849537228</v>
      </c>
      <c r="G89" s="64">
        <v>1.3814603175039999</v>
      </c>
      <c r="H89" s="64">
        <v>916.4698759914171</v>
      </c>
      <c r="I89" s="64"/>
    </row>
  </sheetData>
  <sheetProtection algorithmName="SHA-512" hashValue="aQQeJfPy7JTa0jupADA4PTaqw9MSoIOu9ItqvMod+Im4s/4EOT1L3DjwJTiRngKJIasELRdmRifApjbl0xVi6Q==" saltValue="x+QRdOQAqd077uzYTia0DQ==" spinCount="100000" sheet="1" objects="1" scenarios="1"/>
  <mergeCells count="2">
    <mergeCell ref="C5:C6"/>
    <mergeCell ref="D6:AH6"/>
  </mergeCells>
  <dataValidations count="1">
    <dataValidation allowBlank="1" showInputMessage="1" showErrorMessage="1" sqref="AK49:JZ1048576 AI52:AJ1048576 AL5:KA48 AK1:JZ4 C52:AH65532" xr:uid="{00000000-0002-0000-1E00-000000000000}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Z304"/>
  <sheetViews>
    <sheetView topLeftCell="A10" zoomScale="60" zoomScaleNormal="60" workbookViewId="0">
      <selection activeCell="AI23" sqref="AI23"/>
    </sheetView>
  </sheetViews>
  <sheetFormatPr defaultRowHeight="14.5" x14ac:dyDescent="0.35"/>
  <cols>
    <col min="5" max="5" width="12.26953125" customWidth="1"/>
    <col min="6" max="6" width="10.90625" customWidth="1"/>
    <col min="9" max="9" width="14.1796875" style="158" customWidth="1"/>
    <col min="10" max="10" width="13" style="158" customWidth="1"/>
    <col min="11" max="11" width="8.7265625" style="158"/>
    <col min="12" max="12" width="15.54296875" style="158" customWidth="1"/>
    <col min="13" max="18" width="8.7265625" style="158"/>
    <col min="19" max="19" width="14.54296875" style="157" customWidth="1"/>
    <col min="20" max="21" width="8.7265625" style="157"/>
    <col min="22" max="22" width="18.1796875" style="157" customWidth="1"/>
    <col min="23" max="26" width="8.7265625" style="157"/>
    <col min="27" max="27" width="11.90625" style="157" customWidth="1"/>
    <col min="28" max="28" width="8.7265625" style="157"/>
    <col min="29" max="29" width="17.7265625" style="159" customWidth="1"/>
    <col min="30" max="31" width="8.7265625" style="159"/>
    <col min="32" max="32" width="22.54296875" style="159" customWidth="1"/>
    <col min="33" max="38" width="8.7265625" style="159"/>
    <col min="39" max="39" width="17.7265625" style="160" customWidth="1"/>
    <col min="40" max="41" width="8.7265625" style="160"/>
    <col min="42" max="42" width="22" style="160" customWidth="1"/>
    <col min="43" max="48" width="8.7265625" style="160"/>
    <col min="49" max="49" width="17.7265625" style="161" customWidth="1"/>
    <col min="50" max="51" width="8.7265625" style="161"/>
    <col min="52" max="52" width="18.81640625" style="161" customWidth="1"/>
    <col min="53" max="58" width="8.7265625" style="161"/>
    <col min="59" max="59" width="17.7265625" customWidth="1"/>
    <col min="69" max="78" width="8.7265625" style="189"/>
    <col min="80" max="80" width="18.1796875" customWidth="1"/>
    <col min="81" max="81" width="20.08984375" customWidth="1"/>
    <col min="82" max="82" width="10.54296875" customWidth="1"/>
    <col min="83" max="83" width="11.26953125" customWidth="1"/>
    <col min="85" max="85" width="9.81640625" customWidth="1"/>
    <col min="87" max="87" width="13.90625" bestFit="1" customWidth="1"/>
    <col min="89" max="89" width="8.81640625" customWidth="1"/>
    <col min="90" max="94" width="11.7265625" customWidth="1"/>
    <col min="98" max="98" width="8.453125" customWidth="1"/>
  </cols>
  <sheetData>
    <row r="1" spans="1:154" x14ac:dyDescent="0.35">
      <c r="O1" s="79">
        <f>N8+J8</f>
        <v>217.88710535874856</v>
      </c>
      <c r="P1" s="168">
        <f>O1/O8</f>
        <v>0.73632714965981561</v>
      </c>
      <c r="Y1" s="162">
        <f>X8+T8</f>
        <v>218.84857669615681</v>
      </c>
      <c r="Z1" s="163">
        <f>Y1/Y8</f>
        <v>0.74236339319444455</v>
      </c>
      <c r="AH1" s="173">
        <f>AH5+AD5</f>
        <v>449.82322768326503</v>
      </c>
      <c r="AI1" s="173">
        <f>AH8+AD8</f>
        <v>217.12067462711235</v>
      </c>
      <c r="AJ1" s="174">
        <f>AI1/AI8</f>
        <v>0.73236996767424267</v>
      </c>
      <c r="AK1" s="173">
        <f>AK6-280</f>
        <v>282.36303952152275</v>
      </c>
      <c r="AS1" s="179">
        <f>AR8+AN8</f>
        <v>216.25398314356508</v>
      </c>
      <c r="AT1" s="180">
        <f>AS1/AS8</f>
        <v>0.72833580124766406</v>
      </c>
      <c r="AU1" s="179">
        <f>AU6-280</f>
        <v>265.19784825802742</v>
      </c>
      <c r="BC1" s="184">
        <f>BB8+AX8</f>
        <v>209.07437982146726</v>
      </c>
      <c r="BD1" s="185">
        <f>BC1/BC8</f>
        <v>0.71810191070169938</v>
      </c>
      <c r="BM1" s="2"/>
      <c r="BN1" s="81"/>
      <c r="BW1" s="190">
        <f>BV8+BR8</f>
        <v>240.92012411128624</v>
      </c>
      <c r="BX1" s="191">
        <f>BW1/BW8</f>
        <v>0.75016486354327561</v>
      </c>
    </row>
    <row r="2" spans="1:154" x14ac:dyDescent="0.35">
      <c r="M2" s="168">
        <f>1-M27/M15</f>
        <v>0.40317536251009112</v>
      </c>
      <c r="N2" s="168">
        <f>1-N27/N15</f>
        <v>0.40558149909356356</v>
      </c>
      <c r="O2" s="79">
        <f t="shared" ref="O2:O3" si="0">N9+J9</f>
        <v>140.65472429384772</v>
      </c>
      <c r="P2" s="168">
        <f t="shared" ref="P2:P3" si="1">O2/O9</f>
        <v>0.70359205182789764</v>
      </c>
      <c r="U2" s="163">
        <f>1-U27/U15</f>
        <v>0.50999128077625655</v>
      </c>
      <c r="V2" s="163">
        <f>1-V27/V15</f>
        <v>0.50998467376897427</v>
      </c>
      <c r="Y2" s="162">
        <f t="shared" ref="Y2:Y3" si="2">X9+T9</f>
        <v>147.96241686340969</v>
      </c>
      <c r="Z2" s="163">
        <f t="shared" ref="Z2" si="3">Y2/Y9</f>
        <v>0.73994618934341827</v>
      </c>
      <c r="AD2" s="174">
        <f>1-AD27/AD15</f>
        <v>0.60079276454639041</v>
      </c>
      <c r="AE2" s="174">
        <f>1-AE27/AE15</f>
        <v>0.33520159634071323</v>
      </c>
      <c r="AF2" s="174">
        <f>1-AF27/AF15</f>
        <v>0.33914311520921137</v>
      </c>
      <c r="AH2" s="173">
        <f>AH12+AD12</f>
        <v>609.5234619357866</v>
      </c>
      <c r="AI2" s="173">
        <f t="shared" ref="AI2:AI3" si="4">AH9+AD9</f>
        <v>135.50333105191004</v>
      </c>
      <c r="AJ2" s="174">
        <f t="shared" ref="AJ2:AJ3" si="5">AI2/AI9</f>
        <v>0.67964425943123985</v>
      </c>
      <c r="AN2" s="180">
        <f>1-AN27/AN15</f>
        <v>0.6372410435226008</v>
      </c>
      <c r="AO2" s="180">
        <f>1-AO27/AO15</f>
        <v>0.26722783017133478</v>
      </c>
      <c r="AP2" s="180">
        <f>1-AP27/AP15</f>
        <v>0.27270473132485906</v>
      </c>
      <c r="AS2" s="179">
        <f t="shared" ref="AS2:AS3" si="6">AR9+AN9</f>
        <v>130.16893760260095</v>
      </c>
      <c r="AT2" s="180">
        <f t="shared" ref="AT2:AT3" si="7">AS2/AS9</f>
        <v>0.65525016925344104</v>
      </c>
      <c r="AX2" s="185">
        <f>1-AX27/AX15</f>
        <v>0.69</v>
      </c>
      <c r="AY2" s="185">
        <f>1-AY27/AY15</f>
        <v>0.19439879498985868</v>
      </c>
      <c r="BC2" s="184">
        <f t="shared" ref="BC2:BC3" si="8">BB9+AX9</f>
        <v>127.71414445093801</v>
      </c>
      <c r="BD2" s="185">
        <f t="shared" ref="BD2:BD3" si="9">BC2/BC9</f>
        <v>0.63493239515782474</v>
      </c>
      <c r="BH2" s="81"/>
      <c r="BI2" s="81"/>
      <c r="BM2" s="2"/>
      <c r="BN2" s="81"/>
      <c r="BR2" s="191">
        <f>1-BR27/BR15</f>
        <v>0.17356197238861126</v>
      </c>
      <c r="BS2" s="191">
        <f>1-BS27/BS15</f>
        <v>0.18724310250116682</v>
      </c>
      <c r="BW2" s="190">
        <f t="shared" ref="BW2:BW3" si="10">BV9+BR9</f>
        <v>211.25989518514356</v>
      </c>
      <c r="BX2" s="191">
        <f t="shared" ref="BX2:BX3" si="11">BW2/BW9</f>
        <v>0.74034872063906243</v>
      </c>
      <c r="CC2" s="2">
        <f t="shared" ref="CC2" si="12">CC4-CC3</f>
        <v>-8.9052130471473827</v>
      </c>
      <c r="CD2" s="2">
        <f>CD4-CD3</f>
        <v>-7.0400468279543063</v>
      </c>
      <c r="CE2" s="2">
        <f t="shared" ref="CE2" si="13">CE4-CE3</f>
        <v>-5.8531228702859863</v>
      </c>
      <c r="CF2" s="2">
        <f t="shared" ref="CF2" si="14">CF4-CF3</f>
        <v>-4.6661989126176593</v>
      </c>
      <c r="CG2" s="2">
        <f t="shared" ref="CG2" si="15">CG4-CG3</f>
        <v>-3.3944946722587481</v>
      </c>
      <c r="CH2" s="2">
        <f t="shared" ref="CH2" si="16">CH4-CH3</f>
        <v>0</v>
      </c>
      <c r="EG2">
        <f>0.45/1000</f>
        <v>4.4999999999999999E-4</v>
      </c>
    </row>
    <row r="3" spans="1:154" x14ac:dyDescent="0.35">
      <c r="M3" s="168">
        <f>1-M47/M15</f>
        <v>0.40317536251009112</v>
      </c>
      <c r="N3" s="168">
        <f>1-N47/N15</f>
        <v>0.40558149909356356</v>
      </c>
      <c r="O3" s="79">
        <f t="shared" si="0"/>
        <v>101.76142200603601</v>
      </c>
      <c r="P3" s="168">
        <f t="shared" si="1"/>
        <v>0.67463714681938969</v>
      </c>
      <c r="U3" s="163">
        <f>1-U47/U15</f>
        <v>0.50999128077625655</v>
      </c>
      <c r="V3" s="163">
        <f>1-V47/V15</f>
        <v>0.50998467376897427</v>
      </c>
      <c r="Y3" s="162">
        <f t="shared" si="2"/>
        <v>108.44759328491592</v>
      </c>
      <c r="Z3" s="163">
        <f>Y3/Y10</f>
        <v>0.72915129121788003</v>
      </c>
      <c r="AD3" s="174">
        <f>1-AD47/AD15</f>
        <v>1.0000000000000002</v>
      </c>
      <c r="AE3" s="174">
        <f>1-AE47/AE15</f>
        <v>0.33520159634071323</v>
      </c>
      <c r="AF3" s="174">
        <f>1-AF47/AF15</f>
        <v>0.33914311520921137</v>
      </c>
      <c r="AI3" s="173">
        <f t="shared" si="4"/>
        <v>97.199222004242642</v>
      </c>
      <c r="AJ3" s="174">
        <f t="shared" si="5"/>
        <v>0.640005374653138</v>
      </c>
      <c r="AN3" s="180">
        <f>1-AN47/AN15</f>
        <v>1.0000000000000002</v>
      </c>
      <c r="AO3" s="180">
        <f>1-AO47/AO15</f>
        <v>0.26722783017133478</v>
      </c>
      <c r="AP3" s="180">
        <f>1-AP47/AP15</f>
        <v>0.27270473132485906</v>
      </c>
      <c r="AS3" s="179">
        <f t="shared" si="6"/>
        <v>92.63288502967626</v>
      </c>
      <c r="AT3" s="180">
        <f t="shared" si="7"/>
        <v>0.60583121185763356</v>
      </c>
      <c r="AX3" s="185">
        <f>1-AX47/AX15</f>
        <v>0.99999999999999989</v>
      </c>
      <c r="AY3" s="185">
        <f>1-AY47/AY15</f>
        <v>0.19439879498985868</v>
      </c>
      <c r="BC3" s="184">
        <f t="shared" si="8"/>
        <v>85.174034762781716</v>
      </c>
      <c r="BD3" s="185">
        <f t="shared" si="9"/>
        <v>0.5624314673280002</v>
      </c>
      <c r="BH3" s="81"/>
      <c r="BI3" s="81"/>
      <c r="BM3" s="2"/>
      <c r="BN3" s="81"/>
      <c r="BR3" s="191">
        <f>1-BR47/BR15</f>
        <v>1</v>
      </c>
      <c r="BS3" s="191">
        <f>1-BS47/BS15</f>
        <v>0.16734976170803373</v>
      </c>
      <c r="BW3" s="190">
        <f t="shared" si="10"/>
        <v>215.01575370076185</v>
      </c>
      <c r="BX3" s="191">
        <f t="shared" si="11"/>
        <v>0.76043292654942107</v>
      </c>
      <c r="CB3">
        <v>2018</v>
      </c>
      <c r="CC3" s="2">
        <f>W15</f>
        <v>17.461500584074258</v>
      </c>
      <c r="CD3" s="2">
        <f>M15</f>
        <v>17.461500584074258</v>
      </c>
      <c r="CE3" s="2">
        <f>AG15</f>
        <v>17.461500584074258</v>
      </c>
      <c r="CF3" s="2">
        <f>AQ15</f>
        <v>17.461500584074258</v>
      </c>
      <c r="CG3" s="2">
        <f>BA15</f>
        <v>17.461500584074258</v>
      </c>
      <c r="CH3" s="2">
        <f>BK15</f>
        <v>0</v>
      </c>
    </row>
    <row r="4" spans="1:154" x14ac:dyDescent="0.35">
      <c r="I4" s="158" t="s">
        <v>258</v>
      </c>
      <c r="J4" s="79">
        <f t="shared" ref="J4:R4" si="17">J8+J9</f>
        <v>306.02762450475058</v>
      </c>
      <c r="K4" s="79">
        <f t="shared" si="17"/>
        <v>4.902799502234501</v>
      </c>
      <c r="L4" s="79">
        <f t="shared" si="17"/>
        <v>0.19816681187866306</v>
      </c>
      <c r="M4" s="79">
        <f>M8+M9</f>
        <v>137.27838606256603</v>
      </c>
      <c r="N4" s="79">
        <f t="shared" si="17"/>
        <v>52.514205147845715</v>
      </c>
      <c r="O4" s="79">
        <f t="shared" si="17"/>
        <v>495.82021571516236</v>
      </c>
      <c r="P4" s="79"/>
      <c r="Q4" s="79"/>
      <c r="R4" s="79">
        <f t="shared" si="17"/>
        <v>0</v>
      </c>
      <c r="S4" s="157" t="s">
        <v>258</v>
      </c>
      <c r="T4" s="162">
        <f t="shared" ref="T4:AB4" si="18">T8+T9</f>
        <v>317.84463373655109</v>
      </c>
      <c r="U4" s="162">
        <f t="shared" si="18"/>
        <v>4.5697341059500234</v>
      </c>
      <c r="V4" s="162">
        <f t="shared" si="18"/>
        <v>0.18477871631326565</v>
      </c>
      <c r="W4" s="162">
        <f t="shared" si="18"/>
        <v>127.95255496660064</v>
      </c>
      <c r="X4" s="162">
        <f t="shared" si="18"/>
        <v>48.966359823015395</v>
      </c>
      <c r="Y4" s="162">
        <f t="shared" si="18"/>
        <v>494.76354852616714</v>
      </c>
      <c r="Z4" s="162"/>
      <c r="AA4" s="162"/>
      <c r="AB4" s="162">
        <f t="shared" si="18"/>
        <v>0</v>
      </c>
      <c r="AC4" s="159" t="s">
        <v>258</v>
      </c>
      <c r="AD4" s="173">
        <f t="shared" ref="AD4:AL4" si="19">AD8+AD9</f>
        <v>297.85208077901194</v>
      </c>
      <c r="AE4" s="173">
        <f t="shared" si="19"/>
        <v>5.114750208960988</v>
      </c>
      <c r="AF4" s="173">
        <f t="shared" si="19"/>
        <v>0.20668650905664326</v>
      </c>
      <c r="AG4" s="173">
        <f t="shared" si="19"/>
        <v>143.21300585090762</v>
      </c>
      <c r="AH4" s="173">
        <f t="shared" si="19"/>
        <v>54.771924900010461</v>
      </c>
      <c r="AI4" s="173">
        <f t="shared" si="19"/>
        <v>495.83701152993001</v>
      </c>
      <c r="AJ4" s="173"/>
      <c r="AK4" s="173">
        <f t="shared" si="19"/>
        <v>0.33520159634071323</v>
      </c>
      <c r="AL4" s="173">
        <f t="shared" si="19"/>
        <v>0</v>
      </c>
      <c r="AM4" s="160" t="s">
        <v>258</v>
      </c>
      <c r="AN4" s="179">
        <f t="shared" ref="AN4:AV4" si="20">AN8+AN9</f>
        <v>289.39327609399083</v>
      </c>
      <c r="AO4" s="179">
        <f t="shared" si="20"/>
        <v>5.3267009156874749</v>
      </c>
      <c r="AP4" s="179">
        <f t="shared" si="20"/>
        <v>0.21520620623462344</v>
      </c>
      <c r="AQ4" s="179">
        <f t="shared" si="20"/>
        <v>149.14762563924927</v>
      </c>
      <c r="AR4" s="179">
        <f t="shared" si="20"/>
        <v>57.029644652175207</v>
      </c>
      <c r="AS4" s="179">
        <f t="shared" si="20"/>
        <v>495.5705463854153</v>
      </c>
      <c r="AT4" s="179">
        <f t="shared" si="20"/>
        <v>0</v>
      </c>
      <c r="AU4" s="179">
        <f t="shared" si="20"/>
        <v>0</v>
      </c>
      <c r="AV4" s="179">
        <f t="shared" si="20"/>
        <v>0</v>
      </c>
      <c r="AW4" s="161" t="s">
        <v>258</v>
      </c>
      <c r="AX4" s="184">
        <f t="shared" ref="AX4:BF4" si="21">AX8+AX9</f>
        <v>277.33989417148211</v>
      </c>
      <c r="AY4" s="184">
        <f t="shared" si="21"/>
        <v>5.5537909586087073</v>
      </c>
      <c r="AZ4" s="184">
        <f t="shared" si="21"/>
        <v>0.22433445321103068</v>
      </c>
      <c r="BA4" s="184">
        <f t="shared" si="21"/>
        <v>155.5061468410438</v>
      </c>
      <c r="BB4" s="184">
        <f t="shared" si="21"/>
        <v>59.448630100923125</v>
      </c>
      <c r="BC4" s="184">
        <f t="shared" si="21"/>
        <v>492.29467111344911</v>
      </c>
      <c r="BD4" s="184"/>
      <c r="BE4" s="184"/>
      <c r="BF4" s="184">
        <f t="shared" si="21"/>
        <v>0</v>
      </c>
      <c r="BH4" s="2"/>
      <c r="BI4" s="2"/>
      <c r="BJ4" s="2"/>
      <c r="BK4" s="2"/>
      <c r="BL4" s="2"/>
      <c r="BM4" s="2"/>
      <c r="BN4" s="2"/>
      <c r="BO4" s="2"/>
      <c r="BP4" s="2"/>
      <c r="BQ4" s="189" t="s">
        <v>258</v>
      </c>
      <c r="BR4" s="190">
        <f t="shared" ref="BR4:BZ4" si="22">BR8+BR9</f>
        <v>396.85658535960749</v>
      </c>
      <c r="BS4" s="190">
        <f t="shared" si="22"/>
        <v>5.511717548838047</v>
      </c>
      <c r="BT4" s="190">
        <f t="shared" si="22"/>
        <v>0.20876767523329168</v>
      </c>
      <c r="BU4" s="190">
        <f t="shared" si="22"/>
        <v>154.3280913674653</v>
      </c>
      <c r="BV4" s="190">
        <f t="shared" si="22"/>
        <v>55.323433936822298</v>
      </c>
      <c r="BW4" s="190">
        <f t="shared" si="22"/>
        <v>606.5081106638952</v>
      </c>
      <c r="BX4" s="190"/>
      <c r="BY4" s="190"/>
      <c r="BZ4" s="190">
        <f t="shared" si="22"/>
        <v>0</v>
      </c>
      <c r="CB4">
        <v>2030</v>
      </c>
      <c r="CC4" s="2">
        <f>W27</f>
        <v>8.5562875369268756</v>
      </c>
      <c r="CD4" s="2">
        <f>M27</f>
        <v>10.421453756119952</v>
      </c>
      <c r="CE4" s="2">
        <f>AG27</f>
        <v>11.608377713788272</v>
      </c>
      <c r="CF4" s="2">
        <f>AQ27</f>
        <v>12.795301671456599</v>
      </c>
      <c r="CG4" s="2">
        <f>BA27</f>
        <v>14.06700591181551</v>
      </c>
      <c r="CH4" s="2">
        <f>BK27</f>
        <v>0</v>
      </c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</row>
    <row r="5" spans="1:154" x14ac:dyDescent="0.35">
      <c r="I5" s="158" t="s">
        <v>257</v>
      </c>
      <c r="J5" s="79">
        <f t="shared" ref="J5:R5" si="23">J8+J9+J10</f>
        <v>387.58942225615897</v>
      </c>
      <c r="K5" s="79">
        <f t="shared" si="23"/>
        <v>6.7637733872559211</v>
      </c>
      <c r="L5" s="79">
        <f t="shared" si="23"/>
        <v>0.27439180906593696</v>
      </c>
      <c r="M5" s="79">
        <f t="shared" si="23"/>
        <v>189.38565484316578</v>
      </c>
      <c r="N5" s="79">
        <f t="shared" si="23"/>
        <v>72.713829402473294</v>
      </c>
      <c r="O5" s="79">
        <f t="shared" si="23"/>
        <v>646.65896286360396</v>
      </c>
      <c r="P5" s="79"/>
      <c r="Q5" s="79"/>
      <c r="R5" s="79">
        <f t="shared" si="23"/>
        <v>-3.0299436381941383</v>
      </c>
      <c r="S5" s="157" t="s">
        <v>257</v>
      </c>
      <c r="T5" s="162">
        <f t="shared" ref="T5:AB5" si="24">T8+T9+T10</f>
        <v>409.64044809166973</v>
      </c>
      <c r="U5" s="162">
        <f t="shared" si="24"/>
        <v>6.097642594686965</v>
      </c>
      <c r="V5" s="162">
        <f t="shared" si="24"/>
        <v>0.24761561793514214</v>
      </c>
      <c r="W5" s="162">
        <f t="shared" si="24"/>
        <v>170.73399265123501</v>
      </c>
      <c r="X5" s="162">
        <f t="shared" si="24"/>
        <v>65.618138752812669</v>
      </c>
      <c r="Y5" s="162">
        <f t="shared" si="24"/>
        <v>643.49481265624786</v>
      </c>
      <c r="Z5" s="162"/>
      <c r="AA5" s="162"/>
      <c r="AB5" s="162">
        <f t="shared" si="24"/>
        <v>-2.4977668394695911</v>
      </c>
      <c r="AC5" s="159" t="s">
        <v>257</v>
      </c>
      <c r="AD5" s="173">
        <f>AD8+AD9+AD10</f>
        <v>372.59395877646227</v>
      </c>
      <c r="AE5" s="173">
        <f t="shared" ref="AE5:AL5" si="25">AE8+AE9+AE10</f>
        <v>7.1876748007088933</v>
      </c>
      <c r="AF5" s="173">
        <f t="shared" si="25"/>
        <v>0.29143120342189738</v>
      </c>
      <c r="AG5" s="173">
        <f t="shared" si="25"/>
        <v>201.25489441984899</v>
      </c>
      <c r="AH5" s="173">
        <f t="shared" si="25"/>
        <v>77.229268906802787</v>
      </c>
      <c r="AI5" s="173">
        <f t="shared" si="25"/>
        <v>647.70952050209519</v>
      </c>
      <c r="AJ5" s="173"/>
      <c r="AK5" s="173">
        <f t="shared" si="25"/>
        <v>0.33520159634071323</v>
      </c>
      <c r="AL5" s="173">
        <f t="shared" si="25"/>
        <v>-3.3686016010188502</v>
      </c>
      <c r="AM5" s="160" t="s">
        <v>257</v>
      </c>
      <c r="AN5" s="179">
        <f t="shared" ref="AN5:AV5" si="26">AN8+AN9+AN10</f>
        <v>357.31109736471001</v>
      </c>
      <c r="AO5" s="179">
        <f t="shared" si="26"/>
        <v>7.6115762141618681</v>
      </c>
      <c r="AP5" s="179">
        <f t="shared" si="26"/>
        <v>0.30847059777785774</v>
      </c>
      <c r="AQ5" s="179">
        <f t="shared" si="26"/>
        <v>213.12413399653227</v>
      </c>
      <c r="AR5" s="179">
        <f t="shared" si="26"/>
        <v>81.744708411132294</v>
      </c>
      <c r="AS5" s="179">
        <f t="shared" si="26"/>
        <v>648.47268020853107</v>
      </c>
      <c r="AT5" s="179">
        <f t="shared" si="26"/>
        <v>0</v>
      </c>
      <c r="AU5" s="179">
        <f t="shared" si="26"/>
        <v>0</v>
      </c>
      <c r="AV5" s="179">
        <f t="shared" si="26"/>
        <v>-3.7072595638435626</v>
      </c>
      <c r="AW5" s="161" t="s">
        <v>257</v>
      </c>
      <c r="AX5" s="184">
        <f t="shared" ref="AX5:BF5" si="27">AX8+AX9+AX10</f>
        <v>335.37987972655884</v>
      </c>
      <c r="AY5" s="184">
        <f t="shared" si="27"/>
        <v>8.0657563000043346</v>
      </c>
      <c r="AZ5" s="184">
        <f t="shared" si="27"/>
        <v>0.32672709173067221</v>
      </c>
      <c r="BA5" s="184">
        <f t="shared" si="27"/>
        <v>225.84117640012136</v>
      </c>
      <c r="BB5" s="184">
        <f t="shared" si="27"/>
        <v>86.58267930862813</v>
      </c>
      <c r="BC5" s="184">
        <f t="shared" si="27"/>
        <v>643.73362805415263</v>
      </c>
      <c r="BD5" s="184"/>
      <c r="BE5" s="184"/>
      <c r="BF5" s="184">
        <f t="shared" si="27"/>
        <v>-4.0701073811557507</v>
      </c>
      <c r="BH5" s="2"/>
      <c r="BI5" s="2"/>
      <c r="BJ5" s="2"/>
      <c r="BK5" s="2"/>
      <c r="BL5" s="2"/>
      <c r="BM5" s="2"/>
      <c r="BN5" s="2"/>
      <c r="BO5" s="2"/>
      <c r="BP5" s="2"/>
      <c r="BQ5" s="189" t="s">
        <v>257</v>
      </c>
      <c r="BR5" s="190">
        <f t="shared" ref="BR5:BZ5" si="28">BR8+BR9+BR10</f>
        <v>586.58327896737967</v>
      </c>
      <c r="BS5" s="190">
        <f t="shared" si="28"/>
        <v>8.0669786566681623</v>
      </c>
      <c r="BT5" s="190">
        <f t="shared" si="28"/>
        <v>0.30419809067853587</v>
      </c>
      <c r="BU5" s="190">
        <f t="shared" si="28"/>
        <v>225.87540238670852</v>
      </c>
      <c r="BV5" s="190">
        <f t="shared" si="28"/>
        <v>80.612494029812012</v>
      </c>
      <c r="BW5" s="190">
        <f t="shared" si="28"/>
        <v>889.26250778926465</v>
      </c>
      <c r="BX5" s="190"/>
      <c r="BY5" s="190"/>
      <c r="BZ5" s="190">
        <f t="shared" si="28"/>
        <v>-3.8086675946356676</v>
      </c>
      <c r="CC5" s="2">
        <f>Z5</f>
        <v>0</v>
      </c>
      <c r="CD5" s="2">
        <f>P5</f>
        <v>0</v>
      </c>
      <c r="CE5" s="2">
        <f>AJ12</f>
        <v>0</v>
      </c>
      <c r="CF5" s="2">
        <f>AT12</f>
        <v>0</v>
      </c>
      <c r="CG5" s="2">
        <f>BD5</f>
        <v>0</v>
      </c>
      <c r="CH5" s="2">
        <f>BN5</f>
        <v>0</v>
      </c>
      <c r="CL5" s="2"/>
      <c r="CM5" s="2"/>
      <c r="CN5" s="2"/>
      <c r="CO5" s="2"/>
      <c r="CP5" s="2"/>
      <c r="CQ5" s="2"/>
      <c r="CR5" s="135"/>
      <c r="CS5" s="135"/>
      <c r="CT5" s="135"/>
      <c r="CU5" s="135"/>
      <c r="CV5" s="135"/>
      <c r="CW5" s="135"/>
      <c r="CX5" s="135"/>
      <c r="CY5" s="135"/>
      <c r="CZ5" s="135"/>
      <c r="DA5" s="134"/>
      <c r="DB5" s="134"/>
      <c r="DM5" t="s">
        <v>296</v>
      </c>
    </row>
    <row r="6" spans="1:154" x14ac:dyDescent="0.35">
      <c r="J6" s="158" t="s">
        <v>245</v>
      </c>
      <c r="K6" s="158" t="s">
        <v>3</v>
      </c>
      <c r="L6" s="158" t="s">
        <v>4</v>
      </c>
      <c r="AI6" s="173">
        <f>AD12+AG12+AH12+AL12</f>
        <v>937.7435996481961</v>
      </c>
      <c r="AK6" s="173">
        <f>AD12+AH12+AJ12+AL12</f>
        <v>562.36303952152275</v>
      </c>
      <c r="AS6" s="179">
        <f>AN12+AQ12+AR12+AV12</f>
        <v>950.25150732640896</v>
      </c>
      <c r="AU6" s="179">
        <f>AN12+AR12+AT12+AV12</f>
        <v>545.19784825802742</v>
      </c>
      <c r="CB6" t="s">
        <v>264</v>
      </c>
      <c r="CC6" s="2">
        <f t="shared" ref="CC6" si="29">CC126-CC$96</f>
        <v>0</v>
      </c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</row>
    <row r="7" spans="1:154" ht="43.5" x14ac:dyDescent="0.35">
      <c r="I7" s="169" t="str">
        <f>'Scenario 57-40%'!B1</f>
        <v>Target Emission reduction in 2030</v>
      </c>
      <c r="J7" s="168">
        <f>'Scenario 57-40%'!C1</f>
        <v>0.56999999999999995</v>
      </c>
      <c r="K7" s="168">
        <f>'Scenario 57-40%'!D1</f>
        <v>0.4</v>
      </c>
      <c r="L7" s="168">
        <f>'Scenario 57-40%'!E1</f>
        <v>0.4</v>
      </c>
      <c r="S7" s="164" t="str">
        <f>'Scenario 51-51%'!B1</f>
        <v>Target Emission reduction in 2030</v>
      </c>
      <c r="T7" s="165">
        <f>'Scenario 51-51%'!C1</f>
        <v>0.51</v>
      </c>
      <c r="U7" s="165">
        <f>'Scenario 51-51%'!D1</f>
        <v>0.51</v>
      </c>
      <c r="V7" s="165">
        <f>'Scenario 51-51%'!E1</f>
        <v>0.51</v>
      </c>
      <c r="AC7" s="175" t="str">
        <f>'Scenario 61-33%'!B1</f>
        <v>Target Emission reduction in 2030</v>
      </c>
      <c r="AD7" s="176">
        <f>'Scenario 61-33%'!C1</f>
        <v>0.61</v>
      </c>
      <c r="AE7" s="176">
        <f>'Scenario 61-33%'!D1</f>
        <v>0.33</v>
      </c>
      <c r="AF7" s="176">
        <f>'Scenario 61-33%'!E1</f>
        <v>0.33</v>
      </c>
      <c r="AM7" s="181" t="str">
        <f>'Scenario 65-25%'!B1</f>
        <v>Target Emission reduction in 2030</v>
      </c>
      <c r="AN7" s="181">
        <f>'Scenario 65-25%'!C1</f>
        <v>0.65</v>
      </c>
      <c r="AO7" s="181">
        <f>'Scenario 65-25%'!D1</f>
        <v>0.26</v>
      </c>
      <c r="AP7" s="181">
        <f>'Scenario 65-25%'!E1</f>
        <v>0.26</v>
      </c>
      <c r="AW7" s="186" t="str">
        <f>'Scenario 69-19%'!B1</f>
        <v>Target Emission reduction in 2030</v>
      </c>
      <c r="AX7" s="186">
        <f>'Scenario 69-19%'!C1</f>
        <v>0.69</v>
      </c>
      <c r="AY7" s="186">
        <f>'Scenario 69-19%'!D1</f>
        <v>0.185</v>
      </c>
      <c r="AZ7" s="186">
        <f>'Scenario 69-19%'!E1</f>
        <v>0.185</v>
      </c>
      <c r="BG7" s="96"/>
      <c r="BH7" s="96"/>
      <c r="BI7" s="96"/>
      <c r="BJ7" s="96"/>
      <c r="BQ7" s="189" t="str">
        <f>WAM!B1</f>
        <v>Target Emission reduction in 2030</v>
      </c>
      <c r="BR7" s="189" t="str">
        <f>WAM!C1</f>
        <v>WAM</v>
      </c>
      <c r="BS7" s="189" t="str">
        <f>WAM!D1</f>
        <v>WAM</v>
      </c>
      <c r="BT7" s="189" t="str">
        <f>WAM!E1</f>
        <v>WAM</v>
      </c>
      <c r="CB7" t="s">
        <v>6</v>
      </c>
      <c r="CC7" t="str">
        <f>CONCATENATE("E",TEXT(T7,"0%"),"-A",TEXT(U7,"0%"))</f>
        <v>E51%-A51%</v>
      </c>
      <c r="CD7" t="str">
        <f>CONCATENATE("E",TEXT(J7,"0%"),"-A",TEXT(K7,"0%"))</f>
        <v>E57%-A40%</v>
      </c>
      <c r="CE7" t="str">
        <f>CONCATENATE("E",TEXT(AD7,"0%"),"-A",TEXT(AE7,"0%"))</f>
        <v>E61%-A33%</v>
      </c>
      <c r="CF7" t="str">
        <f>CONCATENATE("E",TEXT(AN7,"0%"),"-A",TEXT(AO7,"0%"))</f>
        <v>E65%-A26%</v>
      </c>
      <c r="CG7" t="str">
        <f>CONCATENATE("E",TEXT(AX7,"0%"),"-A",TEXT(AY7,"0%"))</f>
        <v>E69%-A19%</v>
      </c>
      <c r="CH7" t="s">
        <v>271</v>
      </c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D7">
        <f>CU7</f>
        <v>0</v>
      </c>
      <c r="DE7">
        <f>CV7</f>
        <v>0</v>
      </c>
      <c r="DF7">
        <f>CW7</f>
        <v>0</v>
      </c>
      <c r="DG7">
        <f t="shared" ref="DG7:DH7" si="30">CX7</f>
        <v>0</v>
      </c>
      <c r="DH7">
        <f t="shared" si="30"/>
        <v>0</v>
      </c>
      <c r="DL7" t="s">
        <v>268</v>
      </c>
      <c r="DM7" s="2">
        <f>SUM(DM11:DM41)*1000</f>
        <v>460.31734169323323</v>
      </c>
      <c r="DN7" s="2">
        <f t="shared" ref="DN7:DQ7" si="31">SUM(DN11:DN41)*1000</f>
        <v>527.25781952021987</v>
      </c>
      <c r="DO7" s="2">
        <f t="shared" si="31"/>
        <v>569.85630541012085</v>
      </c>
      <c r="DP7" s="2">
        <f t="shared" si="31"/>
        <v>612.45479130002172</v>
      </c>
      <c r="DQ7" s="2">
        <f t="shared" si="31"/>
        <v>658.09602618205838</v>
      </c>
      <c r="DT7" t="s">
        <v>269</v>
      </c>
      <c r="DZ7" t="s">
        <v>270</v>
      </c>
      <c r="EG7" t="s">
        <v>285</v>
      </c>
    </row>
    <row r="8" spans="1:154" x14ac:dyDescent="0.35">
      <c r="G8" s="2">
        <f>M8+N8</f>
        <v>107.78284698023178</v>
      </c>
      <c r="H8" s="2">
        <f>W8+X8</f>
        <v>104.92202999783274</v>
      </c>
      <c r="I8" s="158" t="s">
        <v>227</v>
      </c>
      <c r="J8" s="79">
        <f>SUM(J18:J22)</f>
        <v>188.12788435625737</v>
      </c>
      <c r="K8" s="79">
        <f t="shared" ref="K8:R8" si="32">SUM(K18:K22)</f>
        <v>2.7865580706335922</v>
      </c>
      <c r="L8" s="79">
        <f t="shared" si="32"/>
        <v>0.11229894717921207</v>
      </c>
      <c r="M8" s="79">
        <f t="shared" si="32"/>
        <v>78.023625977740579</v>
      </c>
      <c r="N8" s="79">
        <f t="shared" si="32"/>
        <v>29.759221002491199</v>
      </c>
      <c r="O8" s="79">
        <f t="shared" si="32"/>
        <v>295.91073133648916</v>
      </c>
      <c r="P8" s="79"/>
      <c r="Q8" s="79"/>
      <c r="R8" s="79">
        <f t="shared" si="32"/>
        <v>0</v>
      </c>
      <c r="S8" s="157" t="str">
        <f>I8</f>
        <v>2021-2025</v>
      </c>
      <c r="T8" s="162">
        <f t="shared" ref="T8:AB8" si="33">SUM(T18:T22)</f>
        <v>189.87776576585011</v>
      </c>
      <c r="U8" s="162">
        <f t="shared" si="33"/>
        <v>2.7125435381259306</v>
      </c>
      <c r="V8" s="162">
        <f t="shared" si="33"/>
        <v>0.10932381483134598</v>
      </c>
      <c r="W8" s="162">
        <f t="shared" si="33"/>
        <v>75.951219067526054</v>
      </c>
      <c r="X8" s="162">
        <f t="shared" si="33"/>
        <v>28.970810930306687</v>
      </c>
      <c r="Y8" s="162">
        <f>SUM(Y18:Y22)</f>
        <v>294.79979576368282</v>
      </c>
      <c r="Z8" s="162"/>
      <c r="AA8" s="162"/>
      <c r="AB8" s="162">
        <f t="shared" si="33"/>
        <v>0</v>
      </c>
      <c r="AC8" s="159" t="str">
        <f>S8</f>
        <v>2021-2025</v>
      </c>
      <c r="AD8" s="173">
        <f t="shared" ref="AD8:AL8" si="34">SUM(AD18:AD22)</f>
        <v>186.85973812414011</v>
      </c>
      <c r="AE8" s="173">
        <f t="shared" si="34"/>
        <v>2.8336582276839226</v>
      </c>
      <c r="AF8" s="173">
        <f t="shared" si="34"/>
        <v>0.11419221321876323</v>
      </c>
      <c r="AG8" s="173">
        <f t="shared" si="34"/>
        <v>79.342430375149831</v>
      </c>
      <c r="AH8" s="173">
        <f t="shared" si="34"/>
        <v>30.260936502972253</v>
      </c>
      <c r="AI8" s="173">
        <f t="shared" si="34"/>
        <v>296.46310500226218</v>
      </c>
      <c r="AJ8" s="173"/>
      <c r="AK8" s="173">
        <f t="shared" si="34"/>
        <v>0</v>
      </c>
      <c r="AL8" s="173">
        <f t="shared" si="34"/>
        <v>0</v>
      </c>
      <c r="AM8" s="160" t="str">
        <f>AC8</f>
        <v>2021-2025</v>
      </c>
      <c r="AN8" s="179">
        <f t="shared" ref="AN8:AV8" si="35">SUM(AN18:AN22)</f>
        <v>185.49133114011178</v>
      </c>
      <c r="AO8" s="179">
        <f t="shared" si="35"/>
        <v>2.8807583847342531</v>
      </c>
      <c r="AP8" s="179">
        <f t="shared" si="35"/>
        <v>0.11608547925831438</v>
      </c>
      <c r="AQ8" s="179">
        <f t="shared" si="35"/>
        <v>80.661234772559084</v>
      </c>
      <c r="AR8" s="179">
        <f t="shared" si="35"/>
        <v>30.762652003453308</v>
      </c>
      <c r="AS8" s="179">
        <f t="shared" si="35"/>
        <v>296.91521791612416</v>
      </c>
      <c r="AT8" s="179"/>
      <c r="AU8" s="179"/>
      <c r="AV8" s="179">
        <f t="shared" si="35"/>
        <v>0</v>
      </c>
      <c r="AW8" s="161" t="str">
        <f>AM8</f>
        <v>2021-2025</v>
      </c>
      <c r="AX8" s="184">
        <f t="shared" ref="AX8:BF8" si="36">SUM(AX18:AX22)</f>
        <v>177.77417549606997</v>
      </c>
      <c r="AY8" s="184">
        <f t="shared" si="36"/>
        <v>2.9312228387167494</v>
      </c>
      <c r="AZ8" s="184">
        <f t="shared" si="36"/>
        <v>0.11811397858640488</v>
      </c>
      <c r="BA8" s="184">
        <f t="shared" si="36"/>
        <v>82.074239484068983</v>
      </c>
      <c r="BB8" s="184">
        <f t="shared" si="36"/>
        <v>31.300204325397292</v>
      </c>
      <c r="BC8" s="184">
        <f t="shared" si="36"/>
        <v>291.14861930553627</v>
      </c>
      <c r="BD8" s="184"/>
      <c r="BE8" s="184"/>
      <c r="BF8" s="184">
        <f t="shared" si="36"/>
        <v>0</v>
      </c>
      <c r="BH8" s="2"/>
      <c r="BI8" s="2"/>
      <c r="BJ8" s="2"/>
      <c r="BK8" s="2"/>
      <c r="BL8" s="2"/>
      <c r="BM8" s="2"/>
      <c r="BN8" s="2"/>
      <c r="BO8" s="2"/>
      <c r="BP8" s="2"/>
      <c r="BQ8" s="189" t="str">
        <f>AW8</f>
        <v>2021-2025</v>
      </c>
      <c r="BR8" s="190">
        <f t="shared" ref="BR8:BZ8" si="37">SUM(BR18:BR22)</f>
        <v>211.89947541953228</v>
      </c>
      <c r="BS8" s="190">
        <f t="shared" si="37"/>
        <v>2.8655754320369127</v>
      </c>
      <c r="BT8" s="190">
        <f t="shared" si="37"/>
        <v>0.10951188185567534</v>
      </c>
      <c r="BU8" s="190">
        <f t="shared" si="37"/>
        <v>80.236112097033541</v>
      </c>
      <c r="BV8" s="190">
        <f t="shared" si="37"/>
        <v>29.020648691753969</v>
      </c>
      <c r="BW8" s="190">
        <f t="shared" si="37"/>
        <v>321.15623620831985</v>
      </c>
      <c r="BX8" s="190"/>
      <c r="BY8" s="190"/>
      <c r="BZ8" s="190">
        <f t="shared" si="37"/>
        <v>0</v>
      </c>
      <c r="CB8" t="s">
        <v>253</v>
      </c>
      <c r="CC8" s="2">
        <f>Y8</f>
        <v>294.79979576368282</v>
      </c>
      <c r="CD8" s="2">
        <f>O8</f>
        <v>295.91073133648916</v>
      </c>
      <c r="CE8" s="2">
        <f>AI8</f>
        <v>296.46310500226218</v>
      </c>
      <c r="CF8" s="2">
        <f>AS8</f>
        <v>296.91521791612416</v>
      </c>
      <c r="CG8" s="2">
        <f>BC8</f>
        <v>291.14861930553627</v>
      </c>
      <c r="CH8" s="2">
        <f>BW8</f>
        <v>321.15623620831985</v>
      </c>
      <c r="CI8" s="2">
        <f>AVERAGE(CC8:CG8)</f>
        <v>295.04749386481888</v>
      </c>
      <c r="CK8" s="2"/>
      <c r="CL8" s="2"/>
      <c r="CM8" s="2"/>
      <c r="CN8" s="2"/>
      <c r="CO8" s="2"/>
      <c r="CP8" s="2"/>
      <c r="CQ8" s="2"/>
      <c r="CR8" s="134"/>
      <c r="CS8" s="134"/>
      <c r="CT8" s="134"/>
      <c r="CU8" s="135"/>
      <c r="CV8" s="135"/>
      <c r="CW8" s="135"/>
      <c r="CX8" s="135"/>
      <c r="CY8" s="135"/>
      <c r="CZ8" s="135"/>
      <c r="DA8" s="134"/>
      <c r="DB8" s="134"/>
      <c r="DC8">
        <f>CT8</f>
        <v>0</v>
      </c>
      <c r="DD8" s="2">
        <f>W8+X8</f>
        <v>104.92202999783274</v>
      </c>
      <c r="DE8" s="2">
        <f>M8+N8</f>
        <v>107.78284698023178</v>
      </c>
      <c r="DF8" s="2">
        <f>AG8+AH8</f>
        <v>109.60336687812209</v>
      </c>
      <c r="DG8" s="2">
        <f>AQ8+AR8</f>
        <v>111.4238867760124</v>
      </c>
      <c r="DH8" s="2">
        <f>BA8+BB8</f>
        <v>113.37444380946627</v>
      </c>
      <c r="DM8" t="str">
        <f>V13</f>
        <v>E51%-A51%</v>
      </c>
      <c r="DN8" s="2" t="str">
        <f>L13</f>
        <v>E57%-A40%</v>
      </c>
      <c r="DO8" t="str">
        <f>AF13</f>
        <v>E61%-A33%</v>
      </c>
      <c r="DP8" t="str">
        <f>AP13</f>
        <v>E65%-A26%</v>
      </c>
      <c r="DQ8" t="str">
        <f>AZ13</f>
        <v>E69%-A19%</v>
      </c>
      <c r="DR8" t="s">
        <v>271</v>
      </c>
      <c r="DS8" t="s">
        <v>1</v>
      </c>
      <c r="DT8" t="str">
        <f>DM8</f>
        <v>E51%-A51%</v>
      </c>
      <c r="DU8" t="str">
        <f t="shared" ref="DU8:DX8" si="38">DN8</f>
        <v>E57%-A40%</v>
      </c>
      <c r="DV8" t="str">
        <f t="shared" si="38"/>
        <v>E61%-A33%</v>
      </c>
      <c r="DW8" t="str">
        <f t="shared" si="38"/>
        <v>E65%-A26%</v>
      </c>
      <c r="DX8" t="str">
        <f t="shared" si="38"/>
        <v>E69%-A19%</v>
      </c>
      <c r="DY8" t="str">
        <f>DR8</f>
        <v>WAM</v>
      </c>
      <c r="DZ8" t="str">
        <f>DS8</f>
        <v>Year</v>
      </c>
      <c r="EA8" t="str">
        <f t="shared" ref="EA8:EF9" si="39">DT8</f>
        <v>E51%-A51%</v>
      </c>
      <c r="EB8" t="str">
        <f t="shared" si="39"/>
        <v>E57%-A40%</v>
      </c>
      <c r="EC8" t="str">
        <f t="shared" si="39"/>
        <v>E61%-A33%</v>
      </c>
      <c r="ED8" t="str">
        <f t="shared" si="39"/>
        <v>E65%-A26%</v>
      </c>
      <c r="EE8" t="str">
        <f t="shared" si="39"/>
        <v>E69%-A19%</v>
      </c>
      <c r="EF8" t="str">
        <f>DY8</f>
        <v>WAM</v>
      </c>
      <c r="EG8" t="str">
        <f>DZ8</f>
        <v>Year</v>
      </c>
      <c r="EH8" t="str">
        <f t="shared" ref="EH8:EK8" si="40">EA8</f>
        <v>E51%-A51%</v>
      </c>
      <c r="EI8" t="str">
        <f t="shared" si="40"/>
        <v>E57%-A40%</v>
      </c>
      <c r="EJ8" t="str">
        <f t="shared" si="40"/>
        <v>E61%-A33%</v>
      </c>
      <c r="EK8" t="str">
        <f t="shared" si="40"/>
        <v>E65%-A26%</v>
      </c>
      <c r="EL8" t="s">
        <v>271</v>
      </c>
    </row>
    <row r="9" spans="1:154" x14ac:dyDescent="0.35">
      <c r="G9" s="2">
        <f t="shared" ref="G9:G12" si="41">M9+N9</f>
        <v>82.009744230179962</v>
      </c>
      <c r="H9" s="2">
        <f t="shared" ref="H9:H12" si="42">W9+X9</f>
        <v>71.996884791783302</v>
      </c>
      <c r="I9" s="158" t="s">
        <v>226</v>
      </c>
      <c r="J9" s="79">
        <f>SUM(J23:J27)</f>
        <v>117.89974014849322</v>
      </c>
      <c r="K9" s="79">
        <f t="shared" ref="K9:R9" si="43">SUM(K23:K27)</f>
        <v>2.1162414316009088</v>
      </c>
      <c r="L9" s="79">
        <f t="shared" si="43"/>
        <v>8.5867864699450985E-2</v>
      </c>
      <c r="M9" s="79">
        <f t="shared" si="43"/>
        <v>59.254760084825449</v>
      </c>
      <c r="N9" s="79">
        <f t="shared" si="43"/>
        <v>22.754984145354513</v>
      </c>
      <c r="O9" s="79">
        <f>SUM(O23:O27)</f>
        <v>199.9094843786732</v>
      </c>
      <c r="P9" s="79"/>
      <c r="Q9" s="79"/>
      <c r="R9" s="79">
        <f t="shared" si="43"/>
        <v>0</v>
      </c>
      <c r="S9" s="157" t="str">
        <f>I9</f>
        <v>2026-2030</v>
      </c>
      <c r="T9" s="162">
        <f t="shared" ref="T9:AB9" si="44">SUM(T23:T27)</f>
        <v>127.96686797070099</v>
      </c>
      <c r="U9" s="162">
        <f t="shared" si="44"/>
        <v>1.8571905678240928</v>
      </c>
      <c r="V9" s="162">
        <f t="shared" si="44"/>
        <v>7.5454901481919648E-2</v>
      </c>
      <c r="W9" s="162">
        <f t="shared" si="44"/>
        <v>52.00133589907459</v>
      </c>
      <c r="X9" s="162">
        <f t="shared" si="44"/>
        <v>19.995548892708708</v>
      </c>
      <c r="Y9" s="162">
        <f>SUM(Y23:Y27)</f>
        <v>199.96375276248429</v>
      </c>
      <c r="Z9" s="162"/>
      <c r="AA9" s="162"/>
      <c r="AB9" s="162">
        <f t="shared" si="44"/>
        <v>0</v>
      </c>
      <c r="AC9" s="159" t="str">
        <f t="shared" ref="AC9:AC12" si="45">S9</f>
        <v>2026-2030</v>
      </c>
      <c r="AD9" s="173">
        <f>SUM(AD23:AD27)</f>
        <v>110.99234265487183</v>
      </c>
      <c r="AE9" s="173">
        <f t="shared" ref="AE9:AL9" si="46">SUM(AE23:AE27)</f>
        <v>2.2810919812770649</v>
      </c>
      <c r="AF9" s="173">
        <f t="shared" si="46"/>
        <v>9.249429583788002E-2</v>
      </c>
      <c r="AG9" s="173">
        <f t="shared" si="46"/>
        <v>63.870575475757803</v>
      </c>
      <c r="AH9" s="173">
        <f t="shared" si="46"/>
        <v>24.510988397038204</v>
      </c>
      <c r="AI9" s="173">
        <f t="shared" si="46"/>
        <v>199.37390652766783</v>
      </c>
      <c r="AJ9" s="173"/>
      <c r="AK9" s="173">
        <f t="shared" si="46"/>
        <v>0.33520159634071323</v>
      </c>
      <c r="AL9" s="173">
        <f t="shared" si="46"/>
        <v>0</v>
      </c>
      <c r="AM9" s="160" t="str">
        <f t="shared" ref="AM9:AM12" si="47">AC9</f>
        <v>2026-2030</v>
      </c>
      <c r="AN9" s="179">
        <f t="shared" ref="AN9:AV9" si="48">SUM(AN23:AN27)</f>
        <v>103.90194495387904</v>
      </c>
      <c r="AO9" s="179">
        <f t="shared" si="48"/>
        <v>2.4459425309532214</v>
      </c>
      <c r="AP9" s="179">
        <f t="shared" si="48"/>
        <v>9.9120726976309054E-2</v>
      </c>
      <c r="AQ9" s="179">
        <f t="shared" si="48"/>
        <v>68.486390866690186</v>
      </c>
      <c r="AR9" s="179">
        <f t="shared" si="48"/>
        <v>26.266992648721899</v>
      </c>
      <c r="AS9" s="179">
        <f t="shared" si="48"/>
        <v>198.65532846929113</v>
      </c>
      <c r="AT9" s="179"/>
      <c r="AU9" s="179"/>
      <c r="AV9" s="179">
        <f t="shared" si="48"/>
        <v>0</v>
      </c>
      <c r="AW9" s="161" t="str">
        <f t="shared" ref="AW9:AW12" si="49">AM9</f>
        <v>2026-2030</v>
      </c>
      <c r="AX9" s="184">
        <f t="shared" ref="AX9:BF9" si="50">SUM(AX23:AX27)</f>
        <v>99.565718675412171</v>
      </c>
      <c r="AY9" s="184">
        <f t="shared" si="50"/>
        <v>2.6225681198919579</v>
      </c>
      <c r="AZ9" s="184">
        <f t="shared" si="50"/>
        <v>0.1062204746246258</v>
      </c>
      <c r="BA9" s="184">
        <f t="shared" si="50"/>
        <v>73.431907356974833</v>
      </c>
      <c r="BB9" s="184">
        <f t="shared" si="50"/>
        <v>28.148425775525837</v>
      </c>
      <c r="BC9" s="184">
        <f t="shared" si="50"/>
        <v>201.14605180791284</v>
      </c>
      <c r="BD9" s="184"/>
      <c r="BE9" s="184"/>
      <c r="BF9" s="184">
        <f t="shared" si="50"/>
        <v>0</v>
      </c>
      <c r="BH9" s="2"/>
      <c r="BI9" s="2"/>
      <c r="BJ9" s="2"/>
      <c r="BK9" s="2"/>
      <c r="BL9" s="2"/>
      <c r="BM9" s="2"/>
      <c r="BN9" s="2"/>
      <c r="BO9" s="2"/>
      <c r="BP9" s="2"/>
      <c r="BQ9" s="189" t="str">
        <f t="shared" ref="BQ9:BQ14" si="51">AW9</f>
        <v>2026-2030</v>
      </c>
      <c r="BR9" s="190">
        <f t="shared" ref="BR9:BZ9" si="52">SUM(BR23:BR27)</f>
        <v>184.95710994007524</v>
      </c>
      <c r="BS9" s="190">
        <f t="shared" si="52"/>
        <v>2.6461421168011343</v>
      </c>
      <c r="BT9" s="190">
        <f t="shared" si="52"/>
        <v>9.9255793377616336E-2</v>
      </c>
      <c r="BU9" s="190">
        <f t="shared" si="52"/>
        <v>74.091979270431764</v>
      </c>
      <c r="BV9" s="190">
        <f t="shared" si="52"/>
        <v>26.302785245068328</v>
      </c>
      <c r="BW9" s="190">
        <f t="shared" si="52"/>
        <v>285.35187445557534</v>
      </c>
      <c r="BX9" s="190"/>
      <c r="BY9" s="190"/>
      <c r="BZ9" s="190">
        <f t="shared" si="52"/>
        <v>0</v>
      </c>
      <c r="CB9" t="s">
        <v>254</v>
      </c>
      <c r="CC9" s="2">
        <f>Y9</f>
        <v>199.96375276248429</v>
      </c>
      <c r="CD9" s="2">
        <f>O9</f>
        <v>199.9094843786732</v>
      </c>
      <c r="CE9" s="2">
        <f t="shared" ref="CE9:CE12" si="53">AI9</f>
        <v>199.37390652766783</v>
      </c>
      <c r="CF9" s="2">
        <f t="shared" ref="CF9:CF12" si="54">AS9</f>
        <v>198.65532846929113</v>
      </c>
      <c r="CG9" s="2">
        <f t="shared" ref="CG9:CG12" si="55">BC9</f>
        <v>201.14605180791284</v>
      </c>
      <c r="CH9" s="2">
        <f t="shared" ref="CH9:CH10" si="56">BW9</f>
        <v>285.35187445557534</v>
      </c>
      <c r="CI9" s="2">
        <f t="shared" ref="CI9" si="57">AVERAGE(CC9:CG9)</f>
        <v>199.80970478920585</v>
      </c>
      <c r="CK9" s="2"/>
      <c r="CL9" s="2"/>
      <c r="CM9" s="2"/>
      <c r="CN9" s="2"/>
      <c r="CO9" s="2"/>
      <c r="CP9" s="2"/>
      <c r="CQ9" s="2"/>
      <c r="CR9" s="134"/>
      <c r="CS9" s="134"/>
      <c r="CT9" s="134"/>
      <c r="CU9" s="135"/>
      <c r="CV9" s="135"/>
      <c r="CW9" s="135"/>
      <c r="CX9" s="135"/>
      <c r="CY9" s="135"/>
      <c r="CZ9" s="135"/>
      <c r="DA9" s="134"/>
      <c r="DB9" s="134"/>
      <c r="DC9">
        <f t="shared" ref="DC9:DC10" si="58">CT9</f>
        <v>0</v>
      </c>
      <c r="DD9" s="2">
        <f t="shared" ref="DD9:DD10" si="59">W9+X9</f>
        <v>71.996884791783302</v>
      </c>
      <c r="DE9" s="2">
        <f>M9+N9</f>
        <v>82.009744230179962</v>
      </c>
      <c r="DF9" s="2">
        <f t="shared" ref="DF9:DF10" si="60">AG9+AH9</f>
        <v>88.381563872796008</v>
      </c>
      <c r="DG9" s="2">
        <f t="shared" ref="DG9:DG10" si="61">AQ9+AR9</f>
        <v>94.753383515412082</v>
      </c>
      <c r="DH9" s="2">
        <f t="shared" ref="DH9:DH10" si="62">BA9+BB9</f>
        <v>101.58033313250067</v>
      </c>
      <c r="DI9" s="2"/>
      <c r="DK9" s="2"/>
      <c r="DL9" s="86">
        <f>I15</f>
        <v>2018</v>
      </c>
      <c r="DM9">
        <f>V15</f>
        <v>2.5646912762990196E-2</v>
      </c>
      <c r="DN9" s="2">
        <f>L15</f>
        <v>2.5646912762990196E-2</v>
      </c>
      <c r="DO9">
        <f t="shared" ref="DO9" si="63">AF15</f>
        <v>2.5646912762990196E-2</v>
      </c>
      <c r="DP9">
        <f t="shared" ref="DP9" si="64">AP15</f>
        <v>2.5646912762990196E-2</v>
      </c>
      <c r="DQ9">
        <f t="shared" ref="DQ9" si="65">AZ15</f>
        <v>2.5646912762990196E-2</v>
      </c>
      <c r="DR9" s="2">
        <f>BT15</f>
        <v>2.5702323908143719E-2</v>
      </c>
      <c r="DS9" s="86">
        <f>DL9</f>
        <v>2018</v>
      </c>
      <c r="DT9" s="2">
        <f>AB15</f>
        <v>0</v>
      </c>
      <c r="DU9" s="2">
        <f>R15</f>
        <v>0</v>
      </c>
      <c r="DV9" s="2">
        <f>AL15</f>
        <v>0</v>
      </c>
      <c r="DW9" s="2">
        <f>AV15</f>
        <v>0</v>
      </c>
      <c r="DX9" s="2">
        <f>BF15</f>
        <v>0</v>
      </c>
      <c r="DY9">
        <f>BZ15</f>
        <v>0</v>
      </c>
      <c r="DZ9">
        <f t="shared" ref="DZ9:DZ41" si="66">DS9</f>
        <v>2018</v>
      </c>
      <c r="EA9">
        <f t="shared" si="39"/>
        <v>0</v>
      </c>
      <c r="EB9">
        <f t="shared" si="39"/>
        <v>0</v>
      </c>
      <c r="EC9">
        <f t="shared" si="39"/>
        <v>0</v>
      </c>
      <c r="ED9">
        <f t="shared" si="39"/>
        <v>0</v>
      </c>
      <c r="EE9">
        <f t="shared" si="39"/>
        <v>0</v>
      </c>
      <c r="EF9">
        <f t="shared" si="39"/>
        <v>0</v>
      </c>
      <c r="EG9">
        <f t="shared" ref="EG9:EG51" si="67">DZ9</f>
        <v>2018</v>
      </c>
      <c r="EH9">
        <f>EA9*$EG$2</f>
        <v>0</v>
      </c>
    </row>
    <row r="10" spans="1:154" x14ac:dyDescent="0.35">
      <c r="G10" s="2">
        <f t="shared" si="41"/>
        <v>72.306893035227347</v>
      </c>
      <c r="H10" s="2">
        <f t="shared" si="42"/>
        <v>59.433216614431643</v>
      </c>
      <c r="I10" s="158" t="s">
        <v>228</v>
      </c>
      <c r="J10" s="79">
        <f>SUM(J28:J32)</f>
        <v>81.56179775140842</v>
      </c>
      <c r="K10" s="79">
        <f t="shared" ref="K10:R10" si="68">SUM(K28:K32)</f>
        <v>1.8609738850214199</v>
      </c>
      <c r="L10" s="79">
        <f t="shared" si="68"/>
        <v>7.6224997187273921E-2</v>
      </c>
      <c r="M10" s="79">
        <f t="shared" si="68"/>
        <v>52.10726878059976</v>
      </c>
      <c r="N10" s="79">
        <f t="shared" si="68"/>
        <v>20.199624254627587</v>
      </c>
      <c r="O10" s="79">
        <f t="shared" si="68"/>
        <v>150.83874714844163</v>
      </c>
      <c r="P10" s="79"/>
      <c r="Q10" s="79"/>
      <c r="R10" s="79">
        <f t="shared" si="68"/>
        <v>-3.0299436381941383</v>
      </c>
      <c r="S10" s="157" t="str">
        <f>I10</f>
        <v>2031-2035</v>
      </c>
      <c r="T10" s="162">
        <f t="shared" ref="T10:AB10" si="69">SUM(T28:T32)</f>
        <v>91.795814355118651</v>
      </c>
      <c r="U10" s="162">
        <f t="shared" si="69"/>
        <v>1.5279084887369421</v>
      </c>
      <c r="V10" s="162">
        <f t="shared" si="69"/>
        <v>6.2836901621876495E-2</v>
      </c>
      <c r="W10" s="162">
        <f t="shared" si="69"/>
        <v>42.781437684634376</v>
      </c>
      <c r="X10" s="162">
        <f t="shared" si="69"/>
        <v>16.65177892979727</v>
      </c>
      <c r="Y10" s="162">
        <f>SUM(Y28:Y32)</f>
        <v>148.73126413008072</v>
      </c>
      <c r="Z10" s="162"/>
      <c r="AA10" s="162"/>
      <c r="AB10" s="162">
        <f t="shared" si="69"/>
        <v>-2.4977668394695911</v>
      </c>
      <c r="AC10" s="159" t="str">
        <f t="shared" si="45"/>
        <v>2031-2035</v>
      </c>
      <c r="AD10" s="173">
        <f t="shared" ref="AD10:AL10" si="70">SUM(AD28:AD32)</f>
        <v>74.741877997450317</v>
      </c>
      <c r="AE10" s="173">
        <f t="shared" si="70"/>
        <v>2.0729245917479053</v>
      </c>
      <c r="AF10" s="173">
        <f t="shared" si="70"/>
        <v>8.47446943652541E-2</v>
      </c>
      <c r="AG10" s="173">
        <f t="shared" si="70"/>
        <v>58.04188856894136</v>
      </c>
      <c r="AH10" s="173">
        <f t="shared" si="70"/>
        <v>22.457344006792333</v>
      </c>
      <c r="AI10" s="173">
        <f t="shared" si="70"/>
        <v>151.87250897216518</v>
      </c>
      <c r="AJ10" s="173"/>
      <c r="AK10" s="173">
        <f t="shared" si="70"/>
        <v>0</v>
      </c>
      <c r="AL10" s="173">
        <f t="shared" si="70"/>
        <v>-3.3686016010188502</v>
      </c>
      <c r="AM10" s="160" t="str">
        <f t="shared" si="47"/>
        <v>2031-2035</v>
      </c>
      <c r="AN10" s="179">
        <f t="shared" ref="AN10:AV10" si="71">SUM(AN28:AN32)</f>
        <v>67.917821270719173</v>
      </c>
      <c r="AO10" s="179">
        <f t="shared" si="71"/>
        <v>2.2848752984743927</v>
      </c>
      <c r="AP10" s="179">
        <f t="shared" si="71"/>
        <v>9.3264391543234279E-2</v>
      </c>
      <c r="AQ10" s="179">
        <f t="shared" si="71"/>
        <v>63.976508357282995</v>
      </c>
      <c r="AR10" s="179">
        <f t="shared" si="71"/>
        <v>24.715063758957086</v>
      </c>
      <c r="AS10" s="179">
        <f t="shared" si="71"/>
        <v>152.90213382311572</v>
      </c>
      <c r="AT10" s="179"/>
      <c r="AU10" s="179"/>
      <c r="AV10" s="179">
        <f t="shared" si="71"/>
        <v>-3.7072595638435626</v>
      </c>
      <c r="AW10" s="161" t="str">
        <f t="shared" si="49"/>
        <v>2031-2035</v>
      </c>
      <c r="AX10" s="184">
        <f t="shared" ref="AX10:BF10" si="72">SUM(AX28:AX32)</f>
        <v>58.039985555076711</v>
      </c>
      <c r="AY10" s="184">
        <f t="shared" si="72"/>
        <v>2.5119653413956264</v>
      </c>
      <c r="AZ10" s="184">
        <f t="shared" si="72"/>
        <v>0.10239263851964153</v>
      </c>
      <c r="BA10" s="184">
        <f t="shared" si="72"/>
        <v>70.335029559077554</v>
      </c>
      <c r="BB10" s="184">
        <f t="shared" si="72"/>
        <v>27.134049207705008</v>
      </c>
      <c r="BC10" s="184">
        <f t="shared" si="72"/>
        <v>151.43895694070352</v>
      </c>
      <c r="BD10" s="184"/>
      <c r="BE10" s="184"/>
      <c r="BF10" s="184">
        <f t="shared" si="72"/>
        <v>-4.0701073811557507</v>
      </c>
      <c r="BH10" s="2"/>
      <c r="BI10" s="2"/>
      <c r="BJ10" s="2"/>
      <c r="BK10" s="2"/>
      <c r="BL10" s="2"/>
      <c r="BM10" s="2"/>
      <c r="BN10" s="2"/>
      <c r="BO10" s="2"/>
      <c r="BP10" s="2"/>
      <c r="BQ10" s="189" t="str">
        <f t="shared" si="51"/>
        <v>2031-2035</v>
      </c>
      <c r="BR10" s="190">
        <f t="shared" ref="BR10:BZ10" si="73">SUM(BR28:BR32)</f>
        <v>189.72669360777215</v>
      </c>
      <c r="BS10" s="190">
        <f t="shared" si="73"/>
        <v>2.5552611078301153</v>
      </c>
      <c r="BT10" s="190">
        <f t="shared" si="73"/>
        <v>9.5430415445244166E-2</v>
      </c>
      <c r="BU10" s="190">
        <f t="shared" si="73"/>
        <v>71.54731101924321</v>
      </c>
      <c r="BV10" s="190">
        <f t="shared" si="73"/>
        <v>25.289060092989708</v>
      </c>
      <c r="BW10" s="190">
        <f t="shared" si="73"/>
        <v>282.75439712536939</v>
      </c>
      <c r="BX10" s="190"/>
      <c r="BY10" s="190"/>
      <c r="BZ10" s="190">
        <f t="shared" si="73"/>
        <v>-3.8086675946356676</v>
      </c>
      <c r="CB10" t="s">
        <v>255</v>
      </c>
      <c r="CC10" s="2">
        <f>Y10</f>
        <v>148.73126413008072</v>
      </c>
      <c r="CD10" s="2">
        <f>O10</f>
        <v>150.83874714844163</v>
      </c>
      <c r="CE10" s="2">
        <f t="shared" si="53"/>
        <v>151.87250897216518</v>
      </c>
      <c r="CF10" s="2">
        <f t="shared" si="54"/>
        <v>152.90213382311572</v>
      </c>
      <c r="CG10" s="2">
        <f t="shared" si="55"/>
        <v>151.43895694070352</v>
      </c>
      <c r="CH10" s="2">
        <f t="shared" si="56"/>
        <v>282.75439712536939</v>
      </c>
      <c r="CI10" s="2">
        <f>AVERAGE(CC10:CG10)</f>
        <v>151.15672220290134</v>
      </c>
      <c r="CK10" s="2"/>
      <c r="CL10" s="2"/>
      <c r="CM10" s="2"/>
      <c r="CN10" s="2"/>
      <c r="CO10" s="2"/>
      <c r="CP10" s="2"/>
      <c r="CQ10" s="2"/>
      <c r="CR10" s="134"/>
      <c r="CS10" s="134"/>
      <c r="CT10" s="136"/>
      <c r="CU10" s="137"/>
      <c r="CV10" s="137"/>
      <c r="CW10" s="137"/>
      <c r="CX10" s="137"/>
      <c r="CY10" s="137"/>
      <c r="CZ10" s="137"/>
      <c r="DA10" s="134"/>
      <c r="DB10" s="134"/>
      <c r="DC10">
        <f t="shared" si="58"/>
        <v>0</v>
      </c>
      <c r="DD10" s="2">
        <f t="shared" si="59"/>
        <v>59.433216614431643</v>
      </c>
      <c r="DE10" s="2">
        <f t="shared" ref="DE10" si="74">M10+N10</f>
        <v>72.306893035227347</v>
      </c>
      <c r="DF10" s="2">
        <f t="shared" si="60"/>
        <v>80.499232575733686</v>
      </c>
      <c r="DG10" s="2">
        <f t="shared" si="61"/>
        <v>88.691572116240081</v>
      </c>
      <c r="DH10" s="2">
        <f t="shared" si="62"/>
        <v>97.469078766782559</v>
      </c>
      <c r="DL10" s="2">
        <f t="shared" ref="DL10:DL41" si="75">I16</f>
        <v>2019</v>
      </c>
      <c r="DM10">
        <f t="shared" ref="DM10:DM41" si="76">V16</f>
        <v>2.4309378074883786E-2</v>
      </c>
      <c r="DN10" s="2">
        <f t="shared" ref="DN10:DN41" si="77">L16</f>
        <v>2.4309378074883786E-2</v>
      </c>
      <c r="DO10">
        <f t="shared" ref="DO10:DO41" si="78">AF16</f>
        <v>2.4309378074883786E-2</v>
      </c>
      <c r="DP10">
        <f t="shared" ref="DP10:DP41" si="79">AP16</f>
        <v>2.4309378074883786E-2</v>
      </c>
      <c r="DQ10">
        <f t="shared" ref="DQ10:DQ41" si="80">AZ16</f>
        <v>2.4309378074883786E-2</v>
      </c>
      <c r="DR10" s="2">
        <f t="shared" ref="DR10:DR51" si="81">BT16</f>
        <v>2.3004457248979732E-2</v>
      </c>
      <c r="DS10" s="86">
        <f t="shared" ref="DS10:DS41" si="82">DL10</f>
        <v>2019</v>
      </c>
      <c r="DT10" s="2">
        <f t="shared" ref="DT10:DT41" si="83">AB16</f>
        <v>0</v>
      </c>
      <c r="DU10" s="2">
        <f t="shared" ref="DU10:DU41" si="84">R16</f>
        <v>0</v>
      </c>
      <c r="DV10" s="2">
        <f t="shared" ref="DV10:DV41" si="85">AL16</f>
        <v>0</v>
      </c>
      <c r="DW10" s="2">
        <f t="shared" ref="DW10:DW41" si="86">AV16</f>
        <v>0</v>
      </c>
      <c r="DX10" s="2">
        <f t="shared" ref="DX10:DX41" si="87">BF16</f>
        <v>0</v>
      </c>
      <c r="DY10">
        <f t="shared" ref="DY10:DY51" si="88">BZ16</f>
        <v>0</v>
      </c>
      <c r="DZ10">
        <f t="shared" si="66"/>
        <v>2019</v>
      </c>
      <c r="EA10" s="2">
        <f>DT10+EA9</f>
        <v>0</v>
      </c>
      <c r="EB10" s="2">
        <f t="shared" ref="EB10:EB41" si="89">DU10+EB9</f>
        <v>0</v>
      </c>
      <c r="EC10" s="2">
        <f t="shared" ref="EC10:EC41" si="90">DV10+EC9</f>
        <v>0</v>
      </c>
      <c r="ED10" s="2">
        <f t="shared" ref="ED10:ED41" si="91">DW10+ED9</f>
        <v>0</v>
      </c>
      <c r="EE10" s="2">
        <f t="shared" ref="EE10:EF41" si="92">DX10+EE9</f>
        <v>0</v>
      </c>
      <c r="EF10" s="2">
        <f t="shared" si="92"/>
        <v>0</v>
      </c>
      <c r="EG10">
        <f t="shared" si="67"/>
        <v>2019</v>
      </c>
      <c r="EH10">
        <f t="shared" ref="EH10:EH51" si="93">EA10*$EG$2</f>
        <v>0</v>
      </c>
      <c r="EI10">
        <f t="shared" ref="EI10:EI51" si="94">EB10*$EG$2</f>
        <v>0</v>
      </c>
      <c r="EJ10">
        <f t="shared" ref="EJ10:EJ51" si="95">EC10*$EG$2</f>
        <v>0</v>
      </c>
      <c r="EK10">
        <f>ED10*$EG$2</f>
        <v>0</v>
      </c>
      <c r="EL10">
        <f>EE10*$EG$2</f>
        <v>0</v>
      </c>
    </row>
    <row r="11" spans="1:154" x14ac:dyDescent="0.35">
      <c r="G11" s="2">
        <f t="shared" si="41"/>
        <v>216.92067910568198</v>
      </c>
      <c r="H11" s="2">
        <f t="shared" si="42"/>
        <v>178.29964984329496</v>
      </c>
      <c r="I11" s="158" t="s">
        <v>229</v>
      </c>
      <c r="J11" s="79">
        <f>SUM(J33:J47)</f>
        <v>100.75280898703389</v>
      </c>
      <c r="K11" s="79">
        <f t="shared" ref="K11:R11" si="96">SUM(K33:K47)</f>
        <v>5.5829216550642613</v>
      </c>
      <c r="L11" s="79">
        <f t="shared" si="96"/>
        <v>0.22867499156182172</v>
      </c>
      <c r="M11" s="79">
        <f t="shared" si="96"/>
        <v>156.32180634179923</v>
      </c>
      <c r="N11" s="79">
        <f t="shared" si="96"/>
        <v>60.598872763882746</v>
      </c>
      <c r="O11" s="79">
        <f t="shared" si="96"/>
        <v>278.28422079619213</v>
      </c>
      <c r="P11" s="79"/>
      <c r="Q11" s="79"/>
      <c r="R11" s="79">
        <f t="shared" si="96"/>
        <v>-39.389267296523784</v>
      </c>
      <c r="S11" s="157" t="str">
        <f>I11</f>
        <v>2036-2050</v>
      </c>
      <c r="T11" s="162">
        <f t="shared" ref="T11:AB11" si="97">SUM(T33:T47)</f>
        <v>113.39482949749943</v>
      </c>
      <c r="U11" s="162">
        <f t="shared" si="97"/>
        <v>4.5837254662108258</v>
      </c>
      <c r="V11" s="162">
        <f t="shared" si="97"/>
        <v>0.18851070486562943</v>
      </c>
      <c r="W11" s="162">
        <f t="shared" si="97"/>
        <v>128.34431305390314</v>
      </c>
      <c r="X11" s="162">
        <f t="shared" si="97"/>
        <v>49.955336789391815</v>
      </c>
      <c r="Y11" s="162">
        <f>SUM(Y33:Y47)</f>
        <v>259.22351042768975</v>
      </c>
      <c r="Z11" s="162"/>
      <c r="AA11" s="162"/>
      <c r="AB11" s="162">
        <f t="shared" si="97"/>
        <v>-32.470968913104677</v>
      </c>
      <c r="AC11" s="159" t="str">
        <f t="shared" si="45"/>
        <v>2036-2050</v>
      </c>
      <c r="AD11" s="173">
        <f t="shared" ref="AD11:AL11" si="98">SUM(AD33:AD47)</f>
        <v>92.328202232144477</v>
      </c>
      <c r="AE11" s="173">
        <f t="shared" si="98"/>
        <v>6.2187737752437142</v>
      </c>
      <c r="AF11" s="173">
        <f t="shared" si="98"/>
        <v>0.25423408309576229</v>
      </c>
      <c r="AG11" s="173">
        <f t="shared" si="98"/>
        <v>174.12566570682412</v>
      </c>
      <c r="AH11" s="173">
        <f t="shared" si="98"/>
        <v>67.372032020376992</v>
      </c>
      <c r="AI11" s="173">
        <f t="shared" si="98"/>
        <v>290.03407914610045</v>
      </c>
      <c r="AJ11" s="173"/>
      <c r="AK11" s="173">
        <f t="shared" si="98"/>
        <v>0</v>
      </c>
      <c r="AL11" s="173">
        <f t="shared" si="98"/>
        <v>-43.791820813245053</v>
      </c>
      <c r="AM11" s="160" t="str">
        <f t="shared" si="47"/>
        <v>2036-2050</v>
      </c>
      <c r="AN11" s="179">
        <f t="shared" ref="AN11:AV11" si="99">SUM(AN33:AN47)</f>
        <v>83.898485099123633</v>
      </c>
      <c r="AO11" s="179">
        <f t="shared" si="99"/>
        <v>6.8546258954231769</v>
      </c>
      <c r="AP11" s="179">
        <f t="shared" si="99"/>
        <v>0.27979317462970293</v>
      </c>
      <c r="AQ11" s="179">
        <f t="shared" si="99"/>
        <v>191.92952507184899</v>
      </c>
      <c r="AR11" s="179">
        <f t="shared" si="99"/>
        <v>74.145191276871245</v>
      </c>
      <c r="AS11" s="179">
        <f t="shared" si="99"/>
        <v>301.77882711787754</v>
      </c>
      <c r="AT11" s="179"/>
      <c r="AU11" s="179"/>
      <c r="AV11" s="179">
        <f t="shared" si="99"/>
        <v>-48.194374329966308</v>
      </c>
      <c r="AW11" s="161" t="str">
        <f t="shared" si="49"/>
        <v>2036-2050</v>
      </c>
      <c r="AX11" s="184">
        <f t="shared" ref="AX11:BF11" si="100">SUM(AX33:AX47)</f>
        <v>71.696452744506587</v>
      </c>
      <c r="AY11" s="184">
        <f t="shared" si="100"/>
        <v>7.5358960241868775</v>
      </c>
      <c r="AZ11" s="184">
        <f t="shared" si="100"/>
        <v>0.3071779155589246</v>
      </c>
      <c r="BA11" s="184">
        <f t="shared" si="100"/>
        <v>211.00508867723261</v>
      </c>
      <c r="BB11" s="184">
        <f t="shared" si="100"/>
        <v>81.402147623115027</v>
      </c>
      <c r="BC11" s="184">
        <f t="shared" si="100"/>
        <v>311.19229308982949</v>
      </c>
      <c r="BD11" s="184"/>
      <c r="BE11" s="184"/>
      <c r="BF11" s="184">
        <f t="shared" si="100"/>
        <v>-52.911395955024759</v>
      </c>
      <c r="BH11" s="2"/>
      <c r="BI11" s="2"/>
      <c r="BJ11" s="2"/>
      <c r="BK11" s="2"/>
      <c r="BL11" s="2"/>
      <c r="BM11" s="2"/>
      <c r="BN11" s="2"/>
      <c r="BO11" s="2"/>
      <c r="BP11" s="2"/>
      <c r="BQ11" s="189" t="str">
        <f t="shared" si="51"/>
        <v>2036-2050</v>
      </c>
      <c r="BR11" s="190">
        <f t="shared" ref="BR11:BZ11" si="101">SUM(BR33:BR47)</f>
        <v>380.10169941611298</v>
      </c>
      <c r="BS11" s="190">
        <f t="shared" si="101"/>
        <v>7.7815236794850717</v>
      </c>
      <c r="BT11" s="190">
        <f t="shared" si="101"/>
        <v>0.28738849286843704</v>
      </c>
      <c r="BU11" s="190">
        <f t="shared" si="101"/>
        <v>217.88266302558199</v>
      </c>
      <c r="BV11" s="190">
        <f t="shared" si="101"/>
        <v>76.157950610135771</v>
      </c>
      <c r="BW11" s="190">
        <f t="shared" si="101"/>
        <v>624.62963432156698</v>
      </c>
      <c r="BX11" s="190"/>
      <c r="BY11" s="190"/>
      <c r="BZ11" s="190">
        <f t="shared" si="101"/>
        <v>-49.51267873026368</v>
      </c>
      <c r="CB11" t="s">
        <v>229</v>
      </c>
      <c r="CC11" s="2">
        <f>Y11</f>
        <v>259.22351042768975</v>
      </c>
      <c r="CD11" s="2">
        <f>O11</f>
        <v>278.28422079619213</v>
      </c>
      <c r="CE11" s="2">
        <f t="shared" si="53"/>
        <v>290.03407914610045</v>
      </c>
      <c r="CF11" s="2">
        <f t="shared" si="54"/>
        <v>301.77882711787754</v>
      </c>
      <c r="CG11" s="2">
        <f t="shared" si="55"/>
        <v>311.19229308982949</v>
      </c>
      <c r="CH11" s="2">
        <f>BW11</f>
        <v>624.62963432156698</v>
      </c>
      <c r="CK11" s="2"/>
      <c r="CL11" s="2"/>
      <c r="CM11" s="2"/>
      <c r="CN11" s="2"/>
      <c r="CO11" s="2"/>
      <c r="CP11" s="2"/>
      <c r="CQ11" s="2"/>
      <c r="CR11" s="134"/>
      <c r="CS11" s="134"/>
      <c r="CT11" s="134"/>
      <c r="CU11" s="135"/>
      <c r="CV11" s="135"/>
      <c r="CW11" s="135"/>
      <c r="CX11" s="135"/>
      <c r="CY11" s="135"/>
      <c r="CZ11" s="135"/>
      <c r="DA11" s="134"/>
      <c r="DB11" s="134"/>
      <c r="DD11" s="2"/>
      <c r="DE11" s="2"/>
      <c r="DF11" s="2"/>
      <c r="DG11" s="2"/>
      <c r="DH11" s="2"/>
      <c r="DL11" s="2">
        <f t="shared" si="75"/>
        <v>2020</v>
      </c>
      <c r="DM11">
        <f t="shared" si="76"/>
        <v>2.4191018892461238E-2</v>
      </c>
      <c r="DN11" s="2">
        <f t="shared" si="77"/>
        <v>2.4191018892461238E-2</v>
      </c>
      <c r="DO11">
        <f t="shared" si="78"/>
        <v>2.4191018892461238E-2</v>
      </c>
      <c r="DP11">
        <f t="shared" si="79"/>
        <v>2.4191018892461238E-2</v>
      </c>
      <c r="DQ11">
        <f t="shared" si="80"/>
        <v>2.4191018892461238E-2</v>
      </c>
      <c r="DR11" s="2">
        <f t="shared" si="81"/>
        <v>2.2983973024124787E-2</v>
      </c>
      <c r="DS11" s="86">
        <f t="shared" si="82"/>
        <v>2020</v>
      </c>
      <c r="DT11" s="2">
        <f t="shared" si="83"/>
        <v>0</v>
      </c>
      <c r="DU11" s="2">
        <f t="shared" si="84"/>
        <v>0</v>
      </c>
      <c r="DV11" s="2">
        <f t="shared" si="85"/>
        <v>0</v>
      </c>
      <c r="DW11" s="2">
        <f t="shared" si="86"/>
        <v>0</v>
      </c>
      <c r="DX11" s="2">
        <f t="shared" si="87"/>
        <v>0</v>
      </c>
      <c r="DY11">
        <f t="shared" si="88"/>
        <v>0</v>
      </c>
      <c r="DZ11">
        <f t="shared" si="66"/>
        <v>2020</v>
      </c>
      <c r="EA11" s="2">
        <f t="shared" ref="EA11:EA41" si="102">DT11+EA10</f>
        <v>0</v>
      </c>
      <c r="EB11" s="2">
        <f t="shared" si="89"/>
        <v>0</v>
      </c>
      <c r="EC11" s="2">
        <f t="shared" si="90"/>
        <v>0</v>
      </c>
      <c r="ED11" s="2">
        <f t="shared" si="91"/>
        <v>0</v>
      </c>
      <c r="EE11" s="2">
        <f t="shared" si="92"/>
        <v>0</v>
      </c>
      <c r="EF11" s="2">
        <f t="shared" si="92"/>
        <v>0</v>
      </c>
      <c r="EG11">
        <f t="shared" si="67"/>
        <v>2020</v>
      </c>
      <c r="EH11">
        <f t="shared" si="93"/>
        <v>0</v>
      </c>
      <c r="EI11">
        <f t="shared" si="94"/>
        <v>0</v>
      </c>
      <c r="EJ11">
        <f t="shared" si="95"/>
        <v>0</v>
      </c>
      <c r="EK11">
        <f t="shared" ref="EK11:EL51" si="103">ED11*$EG$2</f>
        <v>0</v>
      </c>
      <c r="EL11">
        <f t="shared" si="103"/>
        <v>0</v>
      </c>
      <c r="EW11" s="3">
        <v>0.51</v>
      </c>
    </row>
    <row r="12" spans="1:154" x14ac:dyDescent="0.35">
      <c r="G12" s="2">
        <f t="shared" si="41"/>
        <v>479.020163351321</v>
      </c>
      <c r="H12" s="2">
        <f t="shared" si="42"/>
        <v>414.6517812473428</v>
      </c>
      <c r="I12" s="158" t="s">
        <v>256</v>
      </c>
      <c r="J12" s="79">
        <f>SUM(J18:J47)</f>
        <v>488.34223124319283</v>
      </c>
      <c r="K12" s="79">
        <f t="shared" ref="K12:R12" si="104">SUM(K18:K47)</f>
        <v>12.346695042320178</v>
      </c>
      <c r="L12" s="79">
        <f t="shared" si="104"/>
        <v>0.50306680062775866</v>
      </c>
      <c r="M12" s="79">
        <f t="shared" si="104"/>
        <v>345.70746118496493</v>
      </c>
      <c r="N12" s="79">
        <f t="shared" si="104"/>
        <v>133.31270216635605</v>
      </c>
      <c r="O12" s="79">
        <f t="shared" si="104"/>
        <v>924.94318365979609</v>
      </c>
      <c r="P12" s="79"/>
      <c r="Q12" s="79"/>
      <c r="R12" s="79">
        <f t="shared" si="104"/>
        <v>-42.419210934717924</v>
      </c>
      <c r="S12" s="157" t="str">
        <f>I12</f>
        <v>Total 2021-2050</v>
      </c>
      <c r="T12" s="162">
        <f t="shared" ref="T12:AB12" si="105">SUM(T18:T47)</f>
        <v>523.03527758916925</v>
      </c>
      <c r="U12" s="162">
        <f t="shared" si="105"/>
        <v>10.681368060897801</v>
      </c>
      <c r="V12" s="162">
        <f t="shared" si="105"/>
        <v>0.43612632280077196</v>
      </c>
      <c r="W12" s="162">
        <f t="shared" si="105"/>
        <v>299.07830570513829</v>
      </c>
      <c r="X12" s="162">
        <f t="shared" si="105"/>
        <v>115.57347554220449</v>
      </c>
      <c r="Y12" s="162">
        <f>SUM(Y18:Y47)</f>
        <v>902.71832308393766</v>
      </c>
      <c r="Z12" s="162"/>
      <c r="AA12" s="162"/>
      <c r="AB12" s="162">
        <f t="shared" si="105"/>
        <v>-34.968735752574275</v>
      </c>
      <c r="AC12" s="159" t="str">
        <f t="shared" si="45"/>
        <v>Total 2021-2050</v>
      </c>
      <c r="AD12" s="173">
        <f t="shared" ref="AD12:AL12" si="106">SUM(AD18:AD47)</f>
        <v>464.92216100860679</v>
      </c>
      <c r="AE12" s="173">
        <f t="shared" si="106"/>
        <v>13.406448575952606</v>
      </c>
      <c r="AF12" s="173">
        <f t="shared" si="106"/>
        <v>0.54566528651765966</v>
      </c>
      <c r="AG12" s="173">
        <f t="shared" si="106"/>
        <v>375.38056012667334</v>
      </c>
      <c r="AH12" s="173">
        <f t="shared" si="106"/>
        <v>144.60130092717981</v>
      </c>
      <c r="AI12" s="173">
        <f t="shared" si="106"/>
        <v>937.74359964819564</v>
      </c>
      <c r="AJ12" s="173"/>
      <c r="AK12" s="173">
        <f t="shared" si="106"/>
        <v>0.33520159634071323</v>
      </c>
      <c r="AL12" s="173">
        <f t="shared" si="106"/>
        <v>-47.160422414263898</v>
      </c>
      <c r="AM12" s="160" t="str">
        <f t="shared" si="47"/>
        <v>Total 2021-2050</v>
      </c>
      <c r="AN12" s="179">
        <f t="shared" ref="AN12:AV12" si="107">SUM(AN18:AN47)</f>
        <v>441.20958246383367</v>
      </c>
      <c r="AO12" s="179">
        <f t="shared" si="107"/>
        <v>14.466202109585041</v>
      </c>
      <c r="AP12" s="179">
        <f t="shared" si="107"/>
        <v>0.58826377240756056</v>
      </c>
      <c r="AQ12" s="179">
        <f t="shared" si="107"/>
        <v>405.05365906838153</v>
      </c>
      <c r="AR12" s="179">
        <f t="shared" si="107"/>
        <v>155.88989968800357</v>
      </c>
      <c r="AS12" s="179">
        <f>SUM(AS18:AS47)</f>
        <v>950.25150732640873</v>
      </c>
      <c r="AT12" s="179"/>
      <c r="AU12" s="179"/>
      <c r="AV12" s="179">
        <f t="shared" si="107"/>
        <v>-51.901633893809873</v>
      </c>
      <c r="AW12" s="161" t="str">
        <f t="shared" si="49"/>
        <v>Total 2021-2050</v>
      </c>
      <c r="AX12" s="184">
        <f t="shared" ref="AX12:BF12" si="108">SUM(AX18:AX47)</f>
        <v>407.07633247106548</v>
      </c>
      <c r="AY12" s="184">
        <f t="shared" si="108"/>
        <v>15.601652324191223</v>
      </c>
      <c r="AZ12" s="184">
        <f t="shared" si="108"/>
        <v>0.6339050072895972</v>
      </c>
      <c r="BA12" s="184">
        <f t="shared" si="108"/>
        <v>436.84626507735379</v>
      </c>
      <c r="BB12" s="184">
        <f t="shared" si="108"/>
        <v>167.98482693174316</v>
      </c>
      <c r="BC12" s="184">
        <f t="shared" si="108"/>
        <v>954.92592114398201</v>
      </c>
      <c r="BD12" s="184"/>
      <c r="BE12" s="184"/>
      <c r="BF12" s="184">
        <f t="shared" si="108"/>
        <v>-56.981503336180516</v>
      </c>
      <c r="BH12" s="2"/>
      <c r="BI12" s="2"/>
      <c r="BJ12" s="2"/>
      <c r="BK12" s="2"/>
      <c r="BL12" s="2"/>
      <c r="BM12" s="2"/>
      <c r="BN12" s="2"/>
      <c r="BO12" s="2"/>
      <c r="BP12" s="2"/>
      <c r="BQ12" s="189" t="str">
        <f t="shared" si="51"/>
        <v>Total 2021-2050</v>
      </c>
      <c r="BR12" s="190">
        <f t="shared" ref="BR12:BZ12" si="109">SUM(BR18:BR47)</f>
        <v>966.68497838349265</v>
      </c>
      <c r="BS12" s="190">
        <f t="shared" si="109"/>
        <v>15.848502336153233</v>
      </c>
      <c r="BT12" s="190">
        <f t="shared" si="109"/>
        <v>0.59158658354697291</v>
      </c>
      <c r="BU12" s="190">
        <f t="shared" si="109"/>
        <v>443.75806541229065</v>
      </c>
      <c r="BV12" s="190">
        <f t="shared" si="109"/>
        <v>156.77044463994778</v>
      </c>
      <c r="BW12" s="190">
        <f t="shared" si="109"/>
        <v>1513.8921421108316</v>
      </c>
      <c r="BX12" s="190"/>
      <c r="BY12" s="190"/>
      <c r="BZ12" s="190">
        <f t="shared" si="109"/>
        <v>-53.321346324899345</v>
      </c>
      <c r="CB12" t="s">
        <v>259</v>
      </c>
      <c r="CC12" s="2">
        <f>Y12</f>
        <v>902.71832308393766</v>
      </c>
      <c r="CD12" s="2">
        <f>O12</f>
        <v>924.94318365979609</v>
      </c>
      <c r="CE12" s="2">
        <f t="shared" si="53"/>
        <v>937.74359964819564</v>
      </c>
      <c r="CF12" s="2">
        <f t="shared" si="54"/>
        <v>950.25150732640873</v>
      </c>
      <c r="CG12" s="2">
        <f t="shared" si="55"/>
        <v>954.92592114398201</v>
      </c>
      <c r="CH12" s="2">
        <f>BW12</f>
        <v>1513.8921421108316</v>
      </c>
      <c r="CK12" s="2"/>
      <c r="CL12" s="2"/>
      <c r="CM12" s="2"/>
      <c r="CN12" s="2"/>
      <c r="CO12" s="2"/>
      <c r="CP12" s="2"/>
      <c r="CQ12" s="2"/>
      <c r="CR12" s="134"/>
      <c r="CS12" s="134"/>
      <c r="CT12" s="134"/>
      <c r="CU12" s="135"/>
      <c r="CV12" s="135"/>
      <c r="CW12" s="135"/>
      <c r="CX12" s="135"/>
      <c r="CY12" s="135"/>
      <c r="CZ12" s="135"/>
      <c r="DA12" s="134"/>
      <c r="DB12" s="134"/>
      <c r="DD12" s="2">
        <f>DD8+DD9</f>
        <v>176.91891478961605</v>
      </c>
      <c r="DE12" s="2">
        <f t="shared" ref="DE12:DH12" si="110">DE8+DE9</f>
        <v>189.79259121041173</v>
      </c>
      <c r="DF12" s="2">
        <f t="shared" si="110"/>
        <v>197.9849307509181</v>
      </c>
      <c r="DG12" s="2">
        <f t="shared" si="110"/>
        <v>206.17727029142446</v>
      </c>
      <c r="DH12" s="2">
        <f t="shared" si="110"/>
        <v>214.95477694196694</v>
      </c>
      <c r="DL12" s="2">
        <f t="shared" si="75"/>
        <v>2021</v>
      </c>
      <c r="DM12">
        <f t="shared" si="76"/>
        <v>2.4288542705006529E-2</v>
      </c>
      <c r="DN12" s="2">
        <f t="shared" si="77"/>
        <v>2.4288542705006529E-2</v>
      </c>
      <c r="DO12">
        <f t="shared" si="78"/>
        <v>2.4288542705006529E-2</v>
      </c>
      <c r="DP12">
        <f t="shared" si="79"/>
        <v>2.4288542705006529E-2</v>
      </c>
      <c r="DQ12">
        <f t="shared" si="80"/>
        <v>2.4288542705006529E-2</v>
      </c>
      <c r="DR12" s="2">
        <f t="shared" si="81"/>
        <v>2.2585600488491758E-2</v>
      </c>
      <c r="DS12" s="86">
        <f t="shared" si="82"/>
        <v>2021</v>
      </c>
      <c r="DT12" s="2">
        <f t="shared" si="83"/>
        <v>0</v>
      </c>
      <c r="DU12" s="2">
        <f t="shared" si="84"/>
        <v>0</v>
      </c>
      <c r="DV12" s="2">
        <f t="shared" si="85"/>
        <v>0</v>
      </c>
      <c r="DW12" s="2">
        <f t="shared" si="86"/>
        <v>0</v>
      </c>
      <c r="DX12" s="2">
        <f t="shared" si="87"/>
        <v>0</v>
      </c>
      <c r="DY12">
        <f t="shared" si="88"/>
        <v>0</v>
      </c>
      <c r="DZ12">
        <f t="shared" si="66"/>
        <v>2021</v>
      </c>
      <c r="EA12" s="2">
        <f t="shared" si="102"/>
        <v>0</v>
      </c>
      <c r="EB12" s="2">
        <f t="shared" si="89"/>
        <v>0</v>
      </c>
      <c r="EC12" s="2">
        <f t="shared" si="90"/>
        <v>0</v>
      </c>
      <c r="ED12" s="2">
        <f t="shared" si="91"/>
        <v>0</v>
      </c>
      <c r="EE12" s="2">
        <f t="shared" si="92"/>
        <v>0</v>
      </c>
      <c r="EF12" s="2">
        <f t="shared" si="92"/>
        <v>0</v>
      </c>
      <c r="EG12">
        <f t="shared" si="67"/>
        <v>2021</v>
      </c>
      <c r="EH12">
        <f t="shared" si="93"/>
        <v>0</v>
      </c>
      <c r="EI12">
        <f t="shared" si="94"/>
        <v>0</v>
      </c>
      <c r="EJ12">
        <f t="shared" si="95"/>
        <v>0</v>
      </c>
      <c r="EK12">
        <f t="shared" si="103"/>
        <v>0</v>
      </c>
      <c r="EL12">
        <f t="shared" si="103"/>
        <v>0</v>
      </c>
      <c r="EW12">
        <f>EV15*(1-EW11)</f>
        <v>33.472415691762947</v>
      </c>
    </row>
    <row r="13" spans="1:154" x14ac:dyDescent="0.35">
      <c r="L13" s="169" t="str">
        <f>CD7</f>
        <v>E57%-A40%</v>
      </c>
      <c r="M13" s="169" t="s">
        <v>6</v>
      </c>
      <c r="N13" s="169" t="s">
        <v>6</v>
      </c>
      <c r="O13" s="169"/>
      <c r="P13" s="169"/>
      <c r="Q13" s="169"/>
      <c r="V13" s="157" t="str">
        <f>CC7</f>
        <v>E51%-A51%</v>
      </c>
      <c r="W13" s="157" t="str">
        <f>M13</f>
        <v>GWP100</v>
      </c>
      <c r="X13" s="157" t="str">
        <f>N13</f>
        <v>GWP100</v>
      </c>
      <c r="AF13" s="159" t="str">
        <f>CE7</f>
        <v>E61%-A33%</v>
      </c>
      <c r="AG13" s="159" t="str">
        <f>W13</f>
        <v>GWP100</v>
      </c>
      <c r="AH13" s="159" t="str">
        <f>X13</f>
        <v>GWP100</v>
      </c>
      <c r="AP13" s="160" t="str">
        <f>CF7</f>
        <v>E65%-A26%</v>
      </c>
      <c r="AQ13" s="160" t="str">
        <f>AG13</f>
        <v>GWP100</v>
      </c>
      <c r="AR13" s="160" t="str">
        <f>AH13</f>
        <v>GWP100</v>
      </c>
      <c r="AZ13" s="161" t="str">
        <f>CG7</f>
        <v>E69%-A19%</v>
      </c>
      <c r="BA13" s="161" t="str">
        <f>AQ13</f>
        <v>GWP100</v>
      </c>
      <c r="BB13" s="161" t="str">
        <f>AR13</f>
        <v>GWP100</v>
      </c>
      <c r="BQ13" s="189">
        <f t="shared" si="51"/>
        <v>0</v>
      </c>
      <c r="BU13" s="189">
        <f>BK13</f>
        <v>0</v>
      </c>
      <c r="BV13" s="189">
        <f>BL13</f>
        <v>0</v>
      </c>
      <c r="CB13" t="s">
        <v>258</v>
      </c>
      <c r="CC13" s="2">
        <f>SUM(CC8:CC9)</f>
        <v>494.76354852616714</v>
      </c>
      <c r="CD13" s="2">
        <f>SUM(CD8:CD9)</f>
        <v>495.82021571516236</v>
      </c>
      <c r="CE13" s="2">
        <f t="shared" ref="CE13:CG13" si="111">SUM(CE8:CE9)</f>
        <v>495.83701152993001</v>
      </c>
      <c r="CF13" s="2">
        <f t="shared" si="111"/>
        <v>495.5705463854153</v>
      </c>
      <c r="CG13" s="2">
        <f t="shared" si="111"/>
        <v>492.29467111344911</v>
      </c>
      <c r="CH13" s="2">
        <f>SUM(CH8:CH9)</f>
        <v>606.5081106638952</v>
      </c>
      <c r="CI13" s="2">
        <f>AVERAGE(CC13:CG13)</f>
        <v>494.85719865402478</v>
      </c>
      <c r="CJ13" s="2"/>
      <c r="CK13" s="2"/>
      <c r="CL13" s="2"/>
      <c r="CM13" s="2"/>
      <c r="CN13" s="2"/>
      <c r="CO13" s="2"/>
      <c r="CP13" s="2"/>
      <c r="CQ13" s="2"/>
      <c r="CR13" s="134"/>
      <c r="CS13" s="134"/>
      <c r="CT13" s="134"/>
      <c r="CU13" s="135"/>
      <c r="CV13" s="135"/>
      <c r="CW13" s="135"/>
      <c r="CX13" s="135"/>
      <c r="CY13" s="135"/>
      <c r="CZ13" s="135"/>
      <c r="DA13" s="134"/>
      <c r="DB13" s="134"/>
      <c r="DD13" s="2">
        <f>DD12+DD10</f>
        <v>236.3521314040477</v>
      </c>
      <c r="DE13" s="2">
        <f t="shared" ref="DE13:DH13" si="112">DE12+DE10</f>
        <v>262.09948424563908</v>
      </c>
      <c r="DF13" s="2">
        <f t="shared" si="112"/>
        <v>278.48416332665181</v>
      </c>
      <c r="DG13" s="2">
        <f t="shared" si="112"/>
        <v>294.86884240766454</v>
      </c>
      <c r="DH13" s="2">
        <f t="shared" si="112"/>
        <v>312.4238557087495</v>
      </c>
      <c r="DL13" s="2">
        <f t="shared" si="75"/>
        <v>2022</v>
      </c>
      <c r="DM13">
        <f t="shared" si="76"/>
        <v>2.3015285089407308E-2</v>
      </c>
      <c r="DN13" s="2">
        <f t="shared" si="77"/>
        <v>2.3312798324193917E-2</v>
      </c>
      <c r="DO13">
        <f t="shared" si="78"/>
        <v>2.3502124928149033E-2</v>
      </c>
      <c r="DP13">
        <f t="shared" si="79"/>
        <v>2.3691451532104148E-2</v>
      </c>
      <c r="DQ13">
        <f t="shared" si="80"/>
        <v>2.3894301464913198E-2</v>
      </c>
      <c r="DR13" s="2">
        <f t="shared" si="81"/>
        <v>2.2263098238083701E-2</v>
      </c>
      <c r="DS13" s="86">
        <f t="shared" si="82"/>
        <v>2022</v>
      </c>
      <c r="DT13" s="2">
        <f t="shared" si="83"/>
        <v>0</v>
      </c>
      <c r="DU13" s="2">
        <f t="shared" si="84"/>
        <v>0</v>
      </c>
      <c r="DV13" s="2">
        <f t="shared" si="85"/>
        <v>0</v>
      </c>
      <c r="DW13" s="2">
        <f t="shared" si="86"/>
        <v>0</v>
      </c>
      <c r="DX13" s="2">
        <f t="shared" si="87"/>
        <v>0</v>
      </c>
      <c r="DY13">
        <f t="shared" si="88"/>
        <v>0</v>
      </c>
      <c r="DZ13">
        <f t="shared" si="66"/>
        <v>2022</v>
      </c>
      <c r="EA13" s="2">
        <f t="shared" si="102"/>
        <v>0</v>
      </c>
      <c r="EB13" s="2">
        <f t="shared" si="89"/>
        <v>0</v>
      </c>
      <c r="EC13" s="2">
        <f t="shared" si="90"/>
        <v>0</v>
      </c>
      <c r="ED13" s="2">
        <f t="shared" si="91"/>
        <v>0</v>
      </c>
      <c r="EE13" s="2">
        <f t="shared" si="92"/>
        <v>0</v>
      </c>
      <c r="EF13" s="2">
        <f t="shared" si="92"/>
        <v>0</v>
      </c>
      <c r="EG13">
        <f t="shared" si="67"/>
        <v>2022</v>
      </c>
      <c r="EH13">
        <f t="shared" si="93"/>
        <v>0</v>
      </c>
      <c r="EI13">
        <f t="shared" si="94"/>
        <v>0</v>
      </c>
      <c r="EJ13">
        <f t="shared" si="95"/>
        <v>0</v>
      </c>
      <c r="EK13">
        <f t="shared" si="103"/>
        <v>0</v>
      </c>
      <c r="EL13">
        <f t="shared" si="103"/>
        <v>0</v>
      </c>
    </row>
    <row r="14" spans="1:154" ht="43.5" x14ac:dyDescent="0.35">
      <c r="A14" t="s">
        <v>1</v>
      </c>
      <c r="B14" s="162" t="str">
        <f>V13</f>
        <v>E51%-A51%</v>
      </c>
      <c r="C14" s="79" t="str">
        <f>L13</f>
        <v>E57%-A40%</v>
      </c>
      <c r="D14" s="173" t="str">
        <f>AF13</f>
        <v>E61%-A33%</v>
      </c>
      <c r="E14" s="179" t="str">
        <f>AP13</f>
        <v>E65%-A26%</v>
      </c>
      <c r="F14" s="184" t="str">
        <f>AZ13</f>
        <v>E69%-A19%</v>
      </c>
      <c r="G14" t="s">
        <v>307</v>
      </c>
      <c r="I14" s="158" t="str">
        <f>'Scenario 57-40%'!B7</f>
        <v>Year</v>
      </c>
      <c r="J14" s="158" t="str">
        <f>'Scenario 57-40%'!C7</f>
        <v>CO2</v>
      </c>
      <c r="K14" s="158" t="str">
        <f>'Scenario 57-40%'!D7</f>
        <v>CH4</v>
      </c>
      <c r="L14" s="169" t="str">
        <f>'Scenario 57-40%'!E7</f>
        <v>N2O</v>
      </c>
      <c r="M14" s="169" t="s">
        <v>266</v>
      </c>
      <c r="N14" s="169" t="str">
        <f>'Scenario 57-40%'!G7</f>
        <v>N2O</v>
      </c>
      <c r="O14" s="169" t="str">
        <f>CONCATENATE("GWP100"," ",CD7)</f>
        <v>GWP100 E57%-A40%</v>
      </c>
      <c r="P14" s="169"/>
      <c r="Q14" s="169"/>
      <c r="R14" s="158" t="s">
        <v>267</v>
      </c>
      <c r="S14" s="157" t="str">
        <f>I14</f>
        <v>Year</v>
      </c>
      <c r="T14" s="157" t="str">
        <f>J14</f>
        <v>CO2</v>
      </c>
      <c r="U14" s="157" t="str">
        <f>K14</f>
        <v>CH4</v>
      </c>
      <c r="V14" s="157" t="str">
        <f>L14</f>
        <v>N2O</v>
      </c>
      <c r="W14" s="157" t="str">
        <f>M14</f>
        <v>GWP100 CH4</v>
      </c>
      <c r="X14" s="157" t="str">
        <f>N14</f>
        <v>N2O</v>
      </c>
      <c r="Y14" s="162" t="str">
        <f>CONCATENATE("GWP100"," ",CC7)</f>
        <v>GWP100 E51%-A51%</v>
      </c>
      <c r="AB14" s="157" t="str">
        <f>R14</f>
        <v>Removals</v>
      </c>
      <c r="AC14" s="159" t="str">
        <f>S14</f>
        <v>Year</v>
      </c>
      <c r="AD14" s="159" t="str">
        <f t="shared" ref="AD14" si="113">T14</f>
        <v>CO2</v>
      </c>
      <c r="AE14" s="159" t="str">
        <f t="shared" ref="AE14" si="114">U14</f>
        <v>CH4</v>
      </c>
      <c r="AF14" s="159" t="str">
        <f t="shared" ref="AF14" si="115">V14</f>
        <v>N2O</v>
      </c>
      <c r="AG14" s="159" t="str">
        <f t="shared" ref="AG14" si="116">W14</f>
        <v>GWP100 CH4</v>
      </c>
      <c r="AH14" s="159" t="str">
        <f t="shared" ref="AH14" si="117">X14</f>
        <v>N2O</v>
      </c>
      <c r="AI14" s="159" t="str">
        <f>CONCATENATE("GWP100"," ",CE7)</f>
        <v>GWP100 E61%-A33%</v>
      </c>
      <c r="AL14" s="159" t="str">
        <f>AB14</f>
        <v>Removals</v>
      </c>
      <c r="AM14" s="160" t="str">
        <f>AC14</f>
        <v>Year</v>
      </c>
      <c r="AN14" s="160" t="str">
        <f t="shared" ref="AN14" si="118">AD14</f>
        <v>CO2</v>
      </c>
      <c r="AO14" s="160" t="str">
        <f t="shared" ref="AO14" si="119">AE14</f>
        <v>CH4</v>
      </c>
      <c r="AP14" s="160" t="str">
        <f t="shared" ref="AP14" si="120">AF14</f>
        <v>N2O</v>
      </c>
      <c r="AQ14" s="160" t="str">
        <f t="shared" ref="AQ14" si="121">AG14</f>
        <v>GWP100 CH4</v>
      </c>
      <c r="AR14" s="160" t="str">
        <f t="shared" ref="AR14" si="122">AH14</f>
        <v>N2O</v>
      </c>
      <c r="AS14" s="160" t="str">
        <f>CONCATENATE("GWP100"," ",CF7)</f>
        <v>GWP100 E65%-A26%</v>
      </c>
      <c r="AV14" s="160" t="str">
        <f>AL14</f>
        <v>Removals</v>
      </c>
      <c r="AW14" s="161" t="str">
        <f>AM14</f>
        <v>Year</v>
      </c>
      <c r="AX14" s="161" t="str">
        <f t="shared" ref="AX14" si="123">AN14</f>
        <v>CO2</v>
      </c>
      <c r="AY14" s="161" t="str">
        <f t="shared" ref="AY14" si="124">AO14</f>
        <v>CH4</v>
      </c>
      <c r="AZ14" s="161" t="str">
        <f t="shared" ref="AZ14" si="125">AP14</f>
        <v>N2O</v>
      </c>
      <c r="BA14" s="161" t="str">
        <f t="shared" ref="BA14" si="126">AQ14</f>
        <v>GWP100 CH4</v>
      </c>
      <c r="BB14" s="161" t="str">
        <f t="shared" ref="BB14" si="127">AR14</f>
        <v>N2O</v>
      </c>
      <c r="BC14" s="161" t="str">
        <f>CONCATENATE("GWP100"," ",CG7)</f>
        <v>GWP100 E69%-A19%</v>
      </c>
      <c r="BF14" s="161" t="str">
        <f>AV14</f>
        <v>Removals</v>
      </c>
      <c r="BQ14" s="189" t="str">
        <f t="shared" si="51"/>
        <v>Year</v>
      </c>
      <c r="BR14" s="189" t="str">
        <f t="shared" ref="BR14" si="128">AX14</f>
        <v>CO2</v>
      </c>
      <c r="BS14" s="189" t="str">
        <f t="shared" ref="BS14" si="129">AY14</f>
        <v>CH4</v>
      </c>
      <c r="BT14" s="189" t="str">
        <f t="shared" ref="BT14" si="130">AZ14</f>
        <v>N2O</v>
      </c>
      <c r="BU14" s="189" t="str">
        <f t="shared" ref="BU14" si="131">BA14</f>
        <v>GWP100 CH4</v>
      </c>
      <c r="BV14" s="189" t="str">
        <f t="shared" ref="BV14" si="132">BB14</f>
        <v>N2O</v>
      </c>
      <c r="BW14" s="189" t="str">
        <f>CONCATENATE("GWP100"," ",CR7)</f>
        <v xml:space="preserve">GWP100 </v>
      </c>
      <c r="BZ14" s="189">
        <f>BP14</f>
        <v>0</v>
      </c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134"/>
      <c r="CS14" s="134"/>
      <c r="CT14" s="134"/>
      <c r="CU14" s="135"/>
      <c r="CV14" s="135"/>
      <c r="CW14" s="135"/>
      <c r="CX14" s="135"/>
      <c r="CY14" s="135"/>
      <c r="CZ14" s="135"/>
      <c r="DA14" s="134"/>
      <c r="DB14" s="134"/>
      <c r="DF14" s="2"/>
      <c r="DL14" s="2">
        <f t="shared" si="75"/>
        <v>2023</v>
      </c>
      <c r="DM14">
        <f t="shared" si="76"/>
        <v>2.2172620594353928E-2</v>
      </c>
      <c r="DN14" s="2">
        <f t="shared" si="77"/>
        <v>2.2767647063927147E-2</v>
      </c>
      <c r="DO14">
        <f t="shared" si="78"/>
        <v>2.3146300271837377E-2</v>
      </c>
      <c r="DP14">
        <f t="shared" si="79"/>
        <v>2.3524953479747607E-2</v>
      </c>
      <c r="DQ14">
        <f t="shared" si="80"/>
        <v>2.3930653345365708E-2</v>
      </c>
      <c r="DR14" s="2">
        <f t="shared" si="81"/>
        <v>2.1964318484345276E-2</v>
      </c>
      <c r="DS14" s="86">
        <f t="shared" si="82"/>
        <v>2023</v>
      </c>
      <c r="DT14" s="2">
        <f t="shared" si="83"/>
        <v>0</v>
      </c>
      <c r="DU14" s="2">
        <f t="shared" si="84"/>
        <v>0</v>
      </c>
      <c r="DV14" s="2">
        <f t="shared" si="85"/>
        <v>0</v>
      </c>
      <c r="DW14" s="2">
        <f t="shared" si="86"/>
        <v>0</v>
      </c>
      <c r="DX14" s="2">
        <f t="shared" si="87"/>
        <v>0</v>
      </c>
      <c r="DY14">
        <f t="shared" si="88"/>
        <v>0</v>
      </c>
      <c r="DZ14">
        <f t="shared" si="66"/>
        <v>2023</v>
      </c>
      <c r="EA14" s="2">
        <f t="shared" si="102"/>
        <v>0</v>
      </c>
      <c r="EB14" s="2">
        <f t="shared" si="89"/>
        <v>0</v>
      </c>
      <c r="EC14" s="2">
        <f t="shared" si="90"/>
        <v>0</v>
      </c>
      <c r="ED14" s="2">
        <f t="shared" si="91"/>
        <v>0</v>
      </c>
      <c r="EE14" s="2">
        <f t="shared" si="92"/>
        <v>0</v>
      </c>
      <c r="EF14" s="2">
        <f t="shared" si="92"/>
        <v>0</v>
      </c>
      <c r="EG14">
        <f t="shared" si="67"/>
        <v>2023</v>
      </c>
      <c r="EH14">
        <f t="shared" si="93"/>
        <v>0</v>
      </c>
      <c r="EI14">
        <f t="shared" si="94"/>
        <v>0</v>
      </c>
      <c r="EJ14">
        <f t="shared" si="95"/>
        <v>0</v>
      </c>
      <c r="EK14">
        <f t="shared" si="103"/>
        <v>0</v>
      </c>
      <c r="EL14">
        <f t="shared" si="103"/>
        <v>0</v>
      </c>
      <c r="EP14" t="s">
        <v>1</v>
      </c>
      <c r="EQ14" s="89" t="str">
        <f>Y14</f>
        <v>GWP100 E51%-A51%</v>
      </c>
      <c r="ER14" s="75" t="str">
        <f>O14</f>
        <v>GWP100 E57%-A40%</v>
      </c>
      <c r="ES14" s="75" t="str">
        <f>AI14</f>
        <v>GWP100 E61%-A33%</v>
      </c>
      <c r="ET14" s="75" t="str">
        <f>AS14</f>
        <v>GWP100 E65%-A26%</v>
      </c>
      <c r="EU14" s="75" t="str">
        <f>BW14</f>
        <v xml:space="preserve">GWP100 </v>
      </c>
      <c r="EV14" t="s">
        <v>339</v>
      </c>
      <c r="EX14" t="s">
        <v>340</v>
      </c>
    </row>
    <row r="15" spans="1:154" x14ac:dyDescent="0.35">
      <c r="A15">
        <f>I15</f>
        <v>2018</v>
      </c>
      <c r="B15" s="162">
        <f>Y15</f>
        <v>68.311052432169276</v>
      </c>
      <c r="C15" s="79">
        <f>O15</f>
        <v>68.311052432169276</v>
      </c>
      <c r="D15" s="173">
        <f>AI15</f>
        <v>68.311052432169276</v>
      </c>
      <c r="E15" s="179">
        <f>AS15</f>
        <v>68.311052432169276</v>
      </c>
      <c r="F15" s="184">
        <f>BC15</f>
        <v>68.311052432169276</v>
      </c>
      <c r="G15" s="2">
        <f>AVERAGE(B15:F15)</f>
        <v>68.311052432169276</v>
      </c>
      <c r="I15" s="158">
        <f>'Scenario 57-40%'!B48</f>
        <v>2018</v>
      </c>
      <c r="J15" s="171">
        <f>'Scenario 57-40%'!C48</f>
        <v>44.05311996590261</v>
      </c>
      <c r="K15" s="172">
        <f>'Scenario 57-40%'!D48</f>
        <v>0.62362502085979499</v>
      </c>
      <c r="L15" s="172">
        <f>'Scenario 57-40%'!E48</f>
        <v>2.5646912762990196E-2</v>
      </c>
      <c r="M15" s="79">
        <f>'Scenario 57-40%'!F48</f>
        <v>17.461500584074258</v>
      </c>
      <c r="N15" s="79">
        <f>'Scenario 57-40%'!G48</f>
        <v>6.7964318821924019</v>
      </c>
      <c r="O15" s="79">
        <f>'Scenario 57-40%'!H48</f>
        <v>68.311052432169276</v>
      </c>
      <c r="P15" s="79"/>
      <c r="Q15" s="79"/>
      <c r="S15" s="157">
        <f>I15</f>
        <v>2018</v>
      </c>
      <c r="T15" s="166">
        <f>'Scenario 51-51%'!C48</f>
        <v>44.05311996590261</v>
      </c>
      <c r="U15" s="167">
        <f>'Scenario 51-51%'!D48</f>
        <v>0.62362502085979499</v>
      </c>
      <c r="V15" s="167">
        <f>'Scenario 51-51%'!E48</f>
        <v>2.5646912762990196E-2</v>
      </c>
      <c r="W15" s="162">
        <f>'Scenario 51-51%'!F48</f>
        <v>17.461500584074258</v>
      </c>
      <c r="X15" s="162">
        <f>'Scenario 51-51%'!G48</f>
        <v>6.7964318821924019</v>
      </c>
      <c r="Y15" s="162">
        <f>'Scenario 51-51%'!H48</f>
        <v>68.311052432169276</v>
      </c>
      <c r="Z15" s="162"/>
      <c r="AA15" s="162"/>
      <c r="AC15" s="177">
        <f>S15</f>
        <v>2018</v>
      </c>
      <c r="AD15" s="173">
        <f>'Scenario 61-33%'!C48</f>
        <v>44.05311996590261</v>
      </c>
      <c r="AE15" s="173">
        <f>'Scenario 61-33%'!D48</f>
        <v>0.62362502085979499</v>
      </c>
      <c r="AF15" s="178">
        <f>'Scenario 61-33%'!E48</f>
        <v>2.5646912762990196E-2</v>
      </c>
      <c r="AG15" s="173">
        <f>'Scenario 61-33%'!F48</f>
        <v>17.461500584074258</v>
      </c>
      <c r="AH15" s="173">
        <f>'Scenario 61-33%'!G48</f>
        <v>6.7964318821924019</v>
      </c>
      <c r="AI15" s="173">
        <f>'Scenario 61-33%'!H48</f>
        <v>68.311052432169276</v>
      </c>
      <c r="AJ15" s="173"/>
      <c r="AK15" s="173"/>
      <c r="AM15" s="182">
        <f>AC15</f>
        <v>2018</v>
      </c>
      <c r="AN15" s="179">
        <f>'Scenario 65-25%'!C48</f>
        <v>44.05311996590261</v>
      </c>
      <c r="AO15" s="179">
        <f>'Scenario 65-25%'!D48</f>
        <v>0.62362502085979499</v>
      </c>
      <c r="AP15" s="179">
        <f>'Scenario 65-25%'!E48</f>
        <v>2.5646912762990196E-2</v>
      </c>
      <c r="AQ15" s="179">
        <f>'Scenario 65-25%'!F48</f>
        <v>17.461500584074258</v>
      </c>
      <c r="AR15" s="179">
        <f>'Scenario 65-25%'!G48</f>
        <v>6.7964318821924019</v>
      </c>
      <c r="AS15" s="179">
        <f>'Scenario 65-25%'!H48</f>
        <v>68.311052432169276</v>
      </c>
      <c r="AT15" s="179"/>
      <c r="AU15" s="179"/>
      <c r="AW15" s="187">
        <f>AM15</f>
        <v>2018</v>
      </c>
      <c r="AX15" s="184">
        <f>'Scenario 69-19%'!C48</f>
        <v>44.05311996590261</v>
      </c>
      <c r="AY15" s="184">
        <f>'Scenario 69-19%'!D48</f>
        <v>0.62362502085979499</v>
      </c>
      <c r="AZ15" s="184">
        <f>'Scenario 69-19%'!E48</f>
        <v>2.5646912762990196E-2</v>
      </c>
      <c r="BA15" s="184">
        <f>'Scenario 69-19%'!F48</f>
        <v>17.461500584074258</v>
      </c>
      <c r="BB15" s="184">
        <f>'Scenario 69-19%'!G48</f>
        <v>6.7964318821924019</v>
      </c>
      <c r="BC15" s="184">
        <f>AS15</f>
        <v>68.311052432169276</v>
      </c>
      <c r="BD15" s="184"/>
      <c r="BE15" s="184"/>
      <c r="BG15" s="86"/>
      <c r="BH15" s="2"/>
      <c r="BI15" s="2"/>
      <c r="BJ15" s="2"/>
      <c r="BK15" s="2"/>
      <c r="BL15" s="2"/>
      <c r="BM15" s="2"/>
      <c r="BN15" s="2"/>
      <c r="BO15" s="2"/>
      <c r="BQ15" s="192">
        <f>AW15</f>
        <v>2018</v>
      </c>
      <c r="BR15" s="190">
        <f>WAM!C48</f>
        <v>44.05311996590261</v>
      </c>
      <c r="BS15" s="190">
        <f>WAM!D48</f>
        <v>0.62398515281643696</v>
      </c>
      <c r="BT15" s="190">
        <f>WAM!E48</f>
        <v>2.5702323908143719E-2</v>
      </c>
      <c r="BU15" s="190">
        <f>WAM!F48</f>
        <v>17.471584278860234</v>
      </c>
      <c r="BV15" s="190">
        <f>WAM!G48</f>
        <v>6.8111158356580859</v>
      </c>
      <c r="BW15" s="190">
        <f>WAM!H48</f>
        <v>68.33582008042093</v>
      </c>
      <c r="BX15" s="190"/>
      <c r="BY15" s="190"/>
      <c r="CQ15" s="2"/>
      <c r="CR15" s="134"/>
      <c r="CS15" s="134"/>
      <c r="CT15" s="134"/>
      <c r="CU15" s="135"/>
      <c r="CV15" s="135"/>
      <c r="CW15" s="135"/>
      <c r="CX15" s="135"/>
      <c r="CY15" s="135"/>
      <c r="CZ15" s="135"/>
      <c r="DA15" s="134"/>
      <c r="DB15" s="134"/>
      <c r="DL15" s="2">
        <f t="shared" si="75"/>
        <v>2024</v>
      </c>
      <c r="DM15">
        <f t="shared" si="76"/>
        <v>2.0568534136570747E-2</v>
      </c>
      <c r="DN15" s="2">
        <f t="shared" si="77"/>
        <v>2.1461073840930576E-2</v>
      </c>
      <c r="DO15">
        <f t="shared" si="78"/>
        <v>2.2029053652795921E-2</v>
      </c>
      <c r="DP15">
        <f t="shared" si="79"/>
        <v>2.2597033464661267E-2</v>
      </c>
      <c r="DQ15">
        <f t="shared" si="80"/>
        <v>2.3205583263088417E-2</v>
      </c>
      <c r="DR15" s="2">
        <f t="shared" si="81"/>
        <v>2.1549354148568324E-2</v>
      </c>
      <c r="DS15" s="86">
        <f t="shared" si="82"/>
        <v>2024</v>
      </c>
      <c r="DT15" s="2">
        <f t="shared" si="83"/>
        <v>0</v>
      </c>
      <c r="DU15" s="2">
        <f t="shared" si="84"/>
        <v>0</v>
      </c>
      <c r="DV15" s="2">
        <f t="shared" si="85"/>
        <v>0</v>
      </c>
      <c r="DW15" s="2">
        <f t="shared" si="86"/>
        <v>0</v>
      </c>
      <c r="DX15" s="2">
        <f t="shared" si="87"/>
        <v>0</v>
      </c>
      <c r="DY15">
        <f t="shared" si="88"/>
        <v>0</v>
      </c>
      <c r="DZ15">
        <f t="shared" si="66"/>
        <v>2024</v>
      </c>
      <c r="EA15" s="2">
        <f t="shared" si="102"/>
        <v>0</v>
      </c>
      <c r="EB15" s="2">
        <f t="shared" si="89"/>
        <v>0</v>
      </c>
      <c r="EC15" s="2">
        <f t="shared" si="90"/>
        <v>0</v>
      </c>
      <c r="ED15" s="2">
        <f t="shared" si="91"/>
        <v>0</v>
      </c>
      <c r="EE15" s="2">
        <f t="shared" si="92"/>
        <v>0</v>
      </c>
      <c r="EF15" s="2">
        <f t="shared" si="92"/>
        <v>0</v>
      </c>
      <c r="EG15">
        <f t="shared" si="67"/>
        <v>2024</v>
      </c>
      <c r="EH15">
        <f t="shared" si="93"/>
        <v>0</v>
      </c>
      <c r="EI15">
        <f t="shared" si="94"/>
        <v>0</v>
      </c>
      <c r="EJ15">
        <f t="shared" si="95"/>
        <v>0</v>
      </c>
      <c r="EK15">
        <f t="shared" si="103"/>
        <v>0</v>
      </c>
      <c r="EL15">
        <f t="shared" si="103"/>
        <v>0</v>
      </c>
      <c r="EP15">
        <f>I15</f>
        <v>2018</v>
      </c>
      <c r="EQ15" s="131">
        <f>Y15</f>
        <v>68.311052432169276</v>
      </c>
      <c r="ER15" s="131">
        <f>O15</f>
        <v>68.311052432169276</v>
      </c>
      <c r="ES15" s="131">
        <f>AI15</f>
        <v>68.311052432169276</v>
      </c>
      <c r="ET15" s="131">
        <f>AS15</f>
        <v>68.311052432169276</v>
      </c>
      <c r="EU15" s="131">
        <f>BW15</f>
        <v>68.33582008042093</v>
      </c>
      <c r="EV15" s="2">
        <f>AVERAGE(EQ15:ET15)</f>
        <v>68.311052432169276</v>
      </c>
      <c r="EW15" s="3">
        <f>1-EU15/EU$15</f>
        <v>0</v>
      </c>
      <c r="EX15" s="3">
        <f>1-EV15/EV$15</f>
        <v>0</v>
      </c>
    </row>
    <row r="16" spans="1:154" x14ac:dyDescent="0.35">
      <c r="A16">
        <f t="shared" ref="A16:A57" si="133">I16</f>
        <v>2019</v>
      </c>
      <c r="B16" s="162">
        <f t="shared" ref="B16:B57" si="134">Y16</f>
        <v>66.292618265952399</v>
      </c>
      <c r="C16" s="79">
        <f t="shared" ref="C16:C57" si="135">O16</f>
        <v>66.292618265952399</v>
      </c>
      <c r="D16" s="173">
        <f t="shared" ref="D16:D57" si="136">AI16</f>
        <v>66.292618265952399</v>
      </c>
      <c r="E16" s="179">
        <f t="shared" ref="E16:E57" si="137">AS16</f>
        <v>66.292618265952399</v>
      </c>
      <c r="F16" s="184">
        <f t="shared" ref="F16:F57" si="138">BC16</f>
        <v>66.292618265952399</v>
      </c>
      <c r="G16" s="2">
        <f t="shared" ref="G16:G57" si="139">AVERAGE(B16:F16)</f>
        <v>66.292618265952399</v>
      </c>
      <c r="I16" s="158">
        <f>'Scenario 57-40%'!B49</f>
        <v>2019</v>
      </c>
      <c r="J16" s="79">
        <f>'Scenario 57-40%'!C49</f>
        <v>42.847003375390081</v>
      </c>
      <c r="K16" s="79">
        <f>'Scenario 57-40%'!D49</f>
        <v>0.60727248931136102</v>
      </c>
      <c r="L16" s="79">
        <f>'Scenario 57-40%'!E49</f>
        <v>2.4309378074883786E-2</v>
      </c>
      <c r="M16" s="79">
        <f>'Scenario 57-40%'!F49</f>
        <v>17.003629700718108</v>
      </c>
      <c r="N16" s="79">
        <f>'Scenario 57-40%'!G49</f>
        <v>6.4419851898442033</v>
      </c>
      <c r="O16" s="79">
        <f>'Scenario 57-40%'!H49</f>
        <v>66.292618265952399</v>
      </c>
      <c r="P16" s="79"/>
      <c r="Q16" s="79"/>
      <c r="S16" s="157">
        <f t="shared" ref="S16:S57" si="140">I16</f>
        <v>2019</v>
      </c>
      <c r="T16" s="162">
        <f>'Scenario 51-51%'!C49</f>
        <v>42.847003375390081</v>
      </c>
      <c r="U16" s="162">
        <f>'Scenario 51-51%'!D49</f>
        <v>0.60727248931136102</v>
      </c>
      <c r="V16" s="162">
        <f>'Scenario 51-51%'!E49</f>
        <v>2.4309378074883786E-2</v>
      </c>
      <c r="W16" s="162">
        <f>'Scenario 51-51%'!F49</f>
        <v>17.003629700718108</v>
      </c>
      <c r="X16" s="162">
        <f>'Scenario 51-51%'!G49</f>
        <v>6.4419851898442033</v>
      </c>
      <c r="Y16" s="162">
        <f>'Scenario 51-51%'!H49</f>
        <v>66.292618265952399</v>
      </c>
      <c r="Z16" s="162"/>
      <c r="AA16" s="162"/>
      <c r="AC16" s="177">
        <f t="shared" ref="AC16:AC57" si="141">S16</f>
        <v>2019</v>
      </c>
      <c r="AD16" s="173">
        <f>'Scenario 61-33%'!C49</f>
        <v>42.847003375390081</v>
      </c>
      <c r="AE16" s="173">
        <f>'Scenario 61-33%'!D49</f>
        <v>0.60727248931136102</v>
      </c>
      <c r="AF16" s="178">
        <f>'Scenario 61-33%'!E49</f>
        <v>2.4309378074883786E-2</v>
      </c>
      <c r="AG16" s="173">
        <f>'Scenario 61-33%'!F49</f>
        <v>17.003629700718108</v>
      </c>
      <c r="AH16" s="173">
        <f>'Scenario 61-33%'!G49</f>
        <v>6.4419851898442033</v>
      </c>
      <c r="AI16" s="173">
        <f>'Scenario 61-33%'!H49</f>
        <v>66.292618265952399</v>
      </c>
      <c r="AJ16" s="173"/>
      <c r="AK16" s="173"/>
      <c r="AM16" s="182">
        <f t="shared" ref="AM16:AM57" si="142">AC16</f>
        <v>2019</v>
      </c>
      <c r="AN16" s="179">
        <f>'Scenario 65-25%'!C49</f>
        <v>42.847003375390081</v>
      </c>
      <c r="AO16" s="179">
        <f>'Scenario 65-25%'!D49</f>
        <v>0.60727248931136102</v>
      </c>
      <c r="AP16" s="179">
        <f>'Scenario 65-25%'!E49</f>
        <v>2.4309378074883786E-2</v>
      </c>
      <c r="AQ16" s="179">
        <f>'Scenario 65-25%'!F49</f>
        <v>17.003629700718108</v>
      </c>
      <c r="AR16" s="179">
        <f>'Scenario 65-25%'!G49</f>
        <v>6.4419851898442033</v>
      </c>
      <c r="AS16" s="179">
        <f>'Scenario 65-25%'!H49</f>
        <v>66.292618265952399</v>
      </c>
      <c r="AT16" s="179"/>
      <c r="AU16" s="179"/>
      <c r="AW16" s="187">
        <f t="shared" ref="AW16:AW57" si="143">AM16</f>
        <v>2019</v>
      </c>
      <c r="AX16" s="184">
        <f>'Scenario 69-19%'!C49</f>
        <v>41.81151164486662</v>
      </c>
      <c r="AY16" s="184">
        <f>'Scenario 69-19%'!D49</f>
        <v>0.60727248931136102</v>
      </c>
      <c r="AZ16" s="184">
        <f>'Scenario 69-19%'!E49</f>
        <v>2.4309378074883786E-2</v>
      </c>
      <c r="BA16" s="184">
        <f>'Scenario 69-19%'!F49</f>
        <v>17.003629700718108</v>
      </c>
      <c r="BB16" s="184">
        <f>'Scenario 69-19%'!G49</f>
        <v>6.4419851898442033</v>
      </c>
      <c r="BC16" s="184">
        <f t="shared" ref="BC16:BC17" si="144">AS16</f>
        <v>66.292618265952399</v>
      </c>
      <c r="BD16" s="184"/>
      <c r="BE16" s="184"/>
      <c r="BG16" s="86"/>
      <c r="BH16" s="2"/>
      <c r="BI16" s="2"/>
      <c r="BJ16" s="2"/>
      <c r="BK16" s="2"/>
      <c r="BL16" s="2"/>
      <c r="BM16" s="2"/>
      <c r="BN16" s="2"/>
      <c r="BO16" s="2"/>
      <c r="BQ16" s="192">
        <f t="shared" ref="BQ16:BQ57" si="145">AW16</f>
        <v>2019</v>
      </c>
      <c r="BR16" s="190">
        <f>WAM!C49</f>
        <v>42.551403836920038</v>
      </c>
      <c r="BS16" s="190">
        <f>WAM!D49</f>
        <v>0.58922091624152584</v>
      </c>
      <c r="BT16" s="190">
        <f>WAM!E49</f>
        <v>2.3004457248979732E-2</v>
      </c>
      <c r="BU16" s="190">
        <f>WAM!F49</f>
        <v>16.498185654762722</v>
      </c>
      <c r="BV16" s="190">
        <f>WAM!G49</f>
        <v>6.0961811709796292</v>
      </c>
      <c r="BW16" s="190">
        <f>WAM!H49</f>
        <v>65.145770662662386</v>
      </c>
      <c r="BX16" s="190"/>
      <c r="BY16" s="190"/>
      <c r="CQ16" s="2"/>
      <c r="CR16" s="134"/>
      <c r="CS16" s="134"/>
      <c r="CT16" s="134"/>
      <c r="CU16" s="135"/>
      <c r="CV16" s="135"/>
      <c r="CW16" s="135"/>
      <c r="CX16" s="135"/>
      <c r="CY16" s="135"/>
      <c r="CZ16" s="135"/>
      <c r="DA16" s="134"/>
      <c r="DB16" s="134"/>
      <c r="DL16" s="2">
        <f t="shared" si="75"/>
        <v>2025</v>
      </c>
      <c r="DM16">
        <f t="shared" si="76"/>
        <v>1.9278832306007465E-2</v>
      </c>
      <c r="DN16" s="2">
        <f t="shared" si="77"/>
        <v>2.0468885245153903E-2</v>
      </c>
      <c r="DO16">
        <f t="shared" si="78"/>
        <v>2.1226191660974364E-2</v>
      </c>
      <c r="DP16">
        <f t="shared" si="79"/>
        <v>2.1983498076794825E-2</v>
      </c>
      <c r="DQ16">
        <f t="shared" si="80"/>
        <v>2.2794897808031025E-2</v>
      </c>
      <c r="DR16" s="2">
        <f t="shared" si="81"/>
        <v>2.11495104961863E-2</v>
      </c>
      <c r="DS16" s="86">
        <f t="shared" si="82"/>
        <v>2025</v>
      </c>
      <c r="DT16" s="2">
        <f t="shared" si="83"/>
        <v>0</v>
      </c>
      <c r="DU16" s="2">
        <f t="shared" si="84"/>
        <v>0</v>
      </c>
      <c r="DV16" s="2">
        <f t="shared" si="85"/>
        <v>0</v>
      </c>
      <c r="DW16" s="2">
        <f t="shared" si="86"/>
        <v>0</v>
      </c>
      <c r="DX16" s="2">
        <f t="shared" si="87"/>
        <v>0</v>
      </c>
      <c r="DY16">
        <f t="shared" si="88"/>
        <v>0</v>
      </c>
      <c r="DZ16">
        <f t="shared" si="66"/>
        <v>2025</v>
      </c>
      <c r="EA16" s="2">
        <f t="shared" si="102"/>
        <v>0</v>
      </c>
      <c r="EB16" s="2">
        <f t="shared" si="89"/>
        <v>0</v>
      </c>
      <c r="EC16" s="2">
        <f t="shared" si="90"/>
        <v>0</v>
      </c>
      <c r="ED16" s="2">
        <f t="shared" si="91"/>
        <v>0</v>
      </c>
      <c r="EE16" s="2">
        <f t="shared" si="92"/>
        <v>0</v>
      </c>
      <c r="EF16" s="2">
        <f t="shared" si="92"/>
        <v>0</v>
      </c>
      <c r="EG16">
        <f t="shared" si="67"/>
        <v>2025</v>
      </c>
      <c r="EH16">
        <f t="shared" si="93"/>
        <v>0</v>
      </c>
      <c r="EI16">
        <f t="shared" si="94"/>
        <v>0</v>
      </c>
      <c r="EJ16">
        <f t="shared" si="95"/>
        <v>0</v>
      </c>
      <c r="EK16">
        <f t="shared" si="103"/>
        <v>0</v>
      </c>
      <c r="EL16">
        <f t="shared" si="103"/>
        <v>0</v>
      </c>
      <c r="EP16">
        <f t="shared" ref="EP16:EP47" si="146">I16</f>
        <v>2019</v>
      </c>
      <c r="EQ16" s="131">
        <f t="shared" ref="EQ16:EQ47" si="147">Y16</f>
        <v>66.292618265952399</v>
      </c>
      <c r="ER16" s="131">
        <f t="shared" ref="ER16:ER47" si="148">O16</f>
        <v>66.292618265952399</v>
      </c>
      <c r="ES16" s="131">
        <f t="shared" ref="ES16:ES47" si="149">AI16</f>
        <v>66.292618265952399</v>
      </c>
      <c r="ET16" s="131">
        <f t="shared" ref="ET16:ET47" si="150">AS16</f>
        <v>66.292618265952399</v>
      </c>
      <c r="EU16" s="131">
        <f t="shared" ref="EU16:EU47" si="151">BW16</f>
        <v>65.145770662662386</v>
      </c>
      <c r="EV16" s="2">
        <f t="shared" ref="EV16:EV47" si="152">AVERAGE(EQ16:ET16)</f>
        <v>66.292618265952399</v>
      </c>
      <c r="EW16" s="3">
        <f>1-EU16/EU$15</f>
        <v>4.6681951193449311E-2</v>
      </c>
      <c r="EX16" s="3">
        <f>1-EV16/EV$15</f>
        <v>2.9547695348730252E-2</v>
      </c>
    </row>
    <row r="17" spans="1:156" x14ac:dyDescent="0.35">
      <c r="A17">
        <f t="shared" si="133"/>
        <v>2020</v>
      </c>
      <c r="B17" s="162">
        <f t="shared" si="134"/>
        <v>60.765480652382145</v>
      </c>
      <c r="C17" s="79">
        <f t="shared" si="135"/>
        <v>60.765480652382145</v>
      </c>
      <c r="D17" s="173">
        <f t="shared" si="136"/>
        <v>60.765480652382145</v>
      </c>
      <c r="E17" s="179">
        <f t="shared" si="137"/>
        <v>60.765480652382145</v>
      </c>
      <c r="F17" s="184">
        <f t="shared" si="138"/>
        <v>60.765480652382145</v>
      </c>
      <c r="G17" s="2">
        <f t="shared" si="139"/>
        <v>60.765480652382145</v>
      </c>
      <c r="I17" s="158">
        <f>'Scenario 57-40%'!B50</f>
        <v>2020</v>
      </c>
      <c r="J17" s="79">
        <f>'Scenario 57-40%'!C50</f>
        <v>37.397075829274357</v>
      </c>
      <c r="K17" s="79">
        <f>'Scenario 57-40%'!D50</f>
        <v>0.60563517202162709</v>
      </c>
      <c r="L17" s="79">
        <f>'Scenario 57-40%'!E50</f>
        <v>2.4191018892461238E-2</v>
      </c>
      <c r="M17" s="79">
        <f>'Scenario 57-40%'!F50</f>
        <v>16.95778481660556</v>
      </c>
      <c r="N17" s="79">
        <f>'Scenario 57-40%'!G50</f>
        <v>6.4106200065022279</v>
      </c>
      <c r="O17" s="79">
        <f>'Scenario 57-40%'!H50</f>
        <v>60.765480652382145</v>
      </c>
      <c r="P17" s="79"/>
      <c r="Q17" s="79"/>
      <c r="S17" s="157">
        <f t="shared" si="140"/>
        <v>2020</v>
      </c>
      <c r="T17" s="162">
        <f>'Scenario 51-51%'!C50</f>
        <v>37.397075829274357</v>
      </c>
      <c r="U17" s="162">
        <f>'Scenario 51-51%'!D50</f>
        <v>0.60563517202162709</v>
      </c>
      <c r="V17" s="162">
        <f>'Scenario 51-51%'!E50</f>
        <v>2.4191018892461238E-2</v>
      </c>
      <c r="W17" s="162">
        <f>'Scenario 51-51%'!F50</f>
        <v>16.95778481660556</v>
      </c>
      <c r="X17" s="162">
        <f>'Scenario 51-51%'!G50</f>
        <v>6.4106200065022279</v>
      </c>
      <c r="Y17" s="162">
        <f>'Scenario 51-51%'!H50</f>
        <v>60.765480652382145</v>
      </c>
      <c r="Z17" s="162"/>
      <c r="AA17" s="162"/>
      <c r="AC17" s="177">
        <f t="shared" si="141"/>
        <v>2020</v>
      </c>
      <c r="AD17" s="173">
        <f>'Scenario 61-33%'!C50</f>
        <v>37.397075829274357</v>
      </c>
      <c r="AE17" s="173">
        <f>'Scenario 61-33%'!D50</f>
        <v>0.60563517202162709</v>
      </c>
      <c r="AF17" s="178">
        <f>'Scenario 61-33%'!E50</f>
        <v>2.4191018892461238E-2</v>
      </c>
      <c r="AG17" s="173">
        <f>'Scenario 61-33%'!F50</f>
        <v>16.95778481660556</v>
      </c>
      <c r="AH17" s="173">
        <f>'Scenario 61-33%'!G50</f>
        <v>6.4106200065022279</v>
      </c>
      <c r="AI17" s="173">
        <f>'Scenario 61-33%'!H50</f>
        <v>60.765480652382145</v>
      </c>
      <c r="AJ17" s="173"/>
      <c r="AK17" s="173"/>
      <c r="AM17" s="182">
        <f t="shared" si="142"/>
        <v>2020</v>
      </c>
      <c r="AN17" s="179">
        <f>'Scenario 65-25%'!C50</f>
        <v>37.397075829274357</v>
      </c>
      <c r="AO17" s="179">
        <f>'Scenario 65-25%'!D50</f>
        <v>0.60563517202162709</v>
      </c>
      <c r="AP17" s="179">
        <f>'Scenario 65-25%'!E50</f>
        <v>2.4191018892461238E-2</v>
      </c>
      <c r="AQ17" s="179">
        <f>'Scenario 65-25%'!F50</f>
        <v>16.95778481660556</v>
      </c>
      <c r="AR17" s="179">
        <f>'Scenario 65-25%'!G50</f>
        <v>6.4106200065022279</v>
      </c>
      <c r="AS17" s="179">
        <f>'Scenario 65-25%'!H50</f>
        <v>60.765480652382145</v>
      </c>
      <c r="AT17" s="179"/>
      <c r="AU17" s="179"/>
      <c r="AW17" s="187">
        <f t="shared" si="143"/>
        <v>2020</v>
      </c>
      <c r="AX17" s="184">
        <f>'Scenario 69-19%'!C50</f>
        <v>41.81151164486662</v>
      </c>
      <c r="AY17" s="184">
        <f>'Scenario 69-19%'!D50</f>
        <v>0.60563517202162709</v>
      </c>
      <c r="AZ17" s="184">
        <f>'Scenario 69-19%'!E50</f>
        <v>2.4191018892461238E-2</v>
      </c>
      <c r="BA17" s="184">
        <f>'Scenario 69-19%'!F50</f>
        <v>16.95778481660556</v>
      </c>
      <c r="BB17" s="184">
        <f>'Scenario 69-19%'!G50</f>
        <v>6.4106200065022279</v>
      </c>
      <c r="BC17" s="184">
        <f t="shared" si="144"/>
        <v>60.765480652382145</v>
      </c>
      <c r="BD17" s="184"/>
      <c r="BE17" s="184"/>
      <c r="BG17" s="86"/>
      <c r="BH17" s="2"/>
      <c r="BI17" s="2"/>
      <c r="BJ17" s="2"/>
      <c r="BK17" s="2"/>
      <c r="BL17" s="2"/>
      <c r="BM17" s="2"/>
      <c r="BN17" s="2"/>
      <c r="BO17" s="2"/>
      <c r="BQ17" s="192">
        <f t="shared" si="145"/>
        <v>2020</v>
      </c>
      <c r="BR17" s="190">
        <f>WAM!C50</f>
        <v>39.6997120657254</v>
      </c>
      <c r="BS17" s="190">
        <f>WAM!D50</f>
        <v>0.59473031271743648</v>
      </c>
      <c r="BT17" s="190">
        <f>WAM!E50</f>
        <v>2.2983973024124787E-2</v>
      </c>
      <c r="BU17" s="190">
        <f>WAM!F50</f>
        <v>16.652448756088223</v>
      </c>
      <c r="BV17" s="190">
        <f>WAM!G50</f>
        <v>6.0907528513930682</v>
      </c>
      <c r="BW17" s="190">
        <f>WAM!H50</f>
        <v>62.442913673206689</v>
      </c>
      <c r="BX17" s="190"/>
      <c r="BY17" s="190"/>
      <c r="CC17" s="2"/>
      <c r="CD17" s="2"/>
      <c r="CE17" s="2"/>
      <c r="CF17" s="2"/>
      <c r="CG17" s="2"/>
      <c r="CH17" s="2"/>
      <c r="CI17" s="2"/>
      <c r="CJ17" s="2"/>
      <c r="CL17" s="2"/>
      <c r="CM17" s="2"/>
      <c r="CN17" s="2"/>
      <c r="CO17" s="2"/>
      <c r="CP17" s="2"/>
      <c r="CQ17" s="2"/>
      <c r="CR17" s="134"/>
      <c r="CS17" s="134"/>
      <c r="CT17" s="134"/>
      <c r="CU17" s="135"/>
      <c r="CV17" s="135"/>
      <c r="CW17" s="135"/>
      <c r="CX17" s="135"/>
      <c r="CY17" s="135"/>
      <c r="CZ17" s="135"/>
      <c r="DA17" s="134"/>
      <c r="DB17" s="134"/>
      <c r="DL17" s="2">
        <f t="shared" si="75"/>
        <v>2026</v>
      </c>
      <c r="DM17">
        <f t="shared" si="76"/>
        <v>1.7678922521045151E-2</v>
      </c>
      <c r="DN17" s="2">
        <f t="shared" si="77"/>
        <v>1.9166488694978199E-2</v>
      </c>
      <c r="DO17">
        <f t="shared" si="78"/>
        <v>2.0113121714753775E-2</v>
      </c>
      <c r="DP17">
        <f t="shared" si="79"/>
        <v>2.1059754734529351E-2</v>
      </c>
      <c r="DQ17">
        <f t="shared" si="80"/>
        <v>2.2074004398574602E-2</v>
      </c>
      <c r="DR17" s="2">
        <f t="shared" si="81"/>
        <v>2.0657539633650593E-2</v>
      </c>
      <c r="DS17" s="86">
        <f t="shared" si="82"/>
        <v>2026</v>
      </c>
      <c r="DT17" s="2">
        <f t="shared" si="83"/>
        <v>0</v>
      </c>
      <c r="DU17" s="2">
        <f t="shared" si="84"/>
        <v>0</v>
      </c>
      <c r="DV17" s="2">
        <f t="shared" si="85"/>
        <v>0</v>
      </c>
      <c r="DW17" s="2">
        <f t="shared" si="86"/>
        <v>0</v>
      </c>
      <c r="DX17" s="2">
        <f t="shared" si="87"/>
        <v>0</v>
      </c>
      <c r="DY17">
        <f t="shared" si="88"/>
        <v>0</v>
      </c>
      <c r="DZ17">
        <f t="shared" si="66"/>
        <v>2026</v>
      </c>
      <c r="EA17" s="2">
        <f t="shared" si="102"/>
        <v>0</v>
      </c>
      <c r="EB17" s="2">
        <f t="shared" si="89"/>
        <v>0</v>
      </c>
      <c r="EC17" s="2">
        <f t="shared" si="90"/>
        <v>0</v>
      </c>
      <c r="ED17" s="2">
        <f t="shared" si="91"/>
        <v>0</v>
      </c>
      <c r="EE17" s="2">
        <f t="shared" si="92"/>
        <v>0</v>
      </c>
      <c r="EF17" s="2">
        <f t="shared" si="92"/>
        <v>0</v>
      </c>
      <c r="EG17">
        <f t="shared" si="67"/>
        <v>2026</v>
      </c>
      <c r="EH17">
        <f t="shared" si="93"/>
        <v>0</v>
      </c>
      <c r="EI17">
        <f t="shared" si="94"/>
        <v>0</v>
      </c>
      <c r="EJ17">
        <f t="shared" si="95"/>
        <v>0</v>
      </c>
      <c r="EK17">
        <f t="shared" si="103"/>
        <v>0</v>
      </c>
      <c r="EL17">
        <f t="shared" si="103"/>
        <v>0</v>
      </c>
      <c r="EP17">
        <f t="shared" si="146"/>
        <v>2020</v>
      </c>
      <c r="EQ17" s="131">
        <f t="shared" si="147"/>
        <v>60.765480652382145</v>
      </c>
      <c r="ER17" s="131">
        <f t="shared" si="148"/>
        <v>60.765480652382145</v>
      </c>
      <c r="ES17" s="131">
        <f t="shared" si="149"/>
        <v>60.765480652382145</v>
      </c>
      <c r="ET17" s="131">
        <f t="shared" si="150"/>
        <v>60.765480652382145</v>
      </c>
      <c r="EU17" s="131">
        <f t="shared" si="151"/>
        <v>62.442913673206689</v>
      </c>
      <c r="EV17" s="2">
        <f t="shared" si="152"/>
        <v>60.765480652382145</v>
      </c>
      <c r="EW17" s="3">
        <f t="shared" ref="EW17:EX47" si="153">1-EU17/EU$15</f>
        <v>8.623451654314207E-2</v>
      </c>
      <c r="EX17" s="3">
        <f t="shared" si="153"/>
        <v>0.11045901814028769</v>
      </c>
      <c r="EY17" s="3"/>
      <c r="EZ17" s="3">
        <f>EX17</f>
        <v>0.11045901814028769</v>
      </c>
    </row>
    <row r="18" spans="1:156" x14ac:dyDescent="0.35">
      <c r="A18">
        <f t="shared" si="133"/>
        <v>2021</v>
      </c>
      <c r="B18" s="162">
        <f t="shared" si="134"/>
        <v>62.880982109298884</v>
      </c>
      <c r="C18" s="79">
        <f t="shared" si="135"/>
        <v>62.875356453202762</v>
      </c>
      <c r="D18" s="173">
        <f t="shared" si="136"/>
        <v>62.871606015805426</v>
      </c>
      <c r="E18" s="179">
        <f t="shared" si="137"/>
        <v>62.867855578408019</v>
      </c>
      <c r="F18" s="184">
        <f t="shared" si="138"/>
        <v>65.243534853898723</v>
      </c>
      <c r="G18" s="2">
        <f t="shared" si="139"/>
        <v>63.347867002122754</v>
      </c>
      <c r="I18" s="158">
        <f>'Scenario 57-40%'!B51</f>
        <v>2021</v>
      </c>
      <c r="J18" s="79">
        <f>'Scenario 57-40%'!C51</f>
        <v>39.44333324417066</v>
      </c>
      <c r="K18" s="79">
        <f>'Scenario 57-40%'!D51</f>
        <v>0.60698426400733474</v>
      </c>
      <c r="L18" s="79">
        <f>'Scenario 57-40%'!E51</f>
        <v>2.4288542705006529E-2</v>
      </c>
      <c r="M18" s="79">
        <f>'Scenario 57-40%'!F51</f>
        <v>16.995559392205372</v>
      </c>
      <c r="N18" s="79">
        <f>'Scenario 57-40%'!G51</f>
        <v>6.4364638168267305</v>
      </c>
      <c r="O18" s="79">
        <f>'Scenario 57-40%'!H51</f>
        <v>62.875356453202762</v>
      </c>
      <c r="P18" s="79"/>
      <c r="Q18" s="79"/>
      <c r="S18" s="157">
        <f t="shared" si="140"/>
        <v>2021</v>
      </c>
      <c r="T18" s="162">
        <f>'Scenario 51-51%'!C51</f>
        <v>39.448958900266781</v>
      </c>
      <c r="U18" s="162">
        <f>'Scenario 51-51%'!D51</f>
        <v>0.60698426400733474</v>
      </c>
      <c r="V18" s="162">
        <f>'Scenario 51-51%'!E51</f>
        <v>2.4288542705006529E-2</v>
      </c>
      <c r="W18" s="162">
        <f>'Scenario 51-51%'!F51</f>
        <v>16.995559392205372</v>
      </c>
      <c r="X18" s="162">
        <f>'Scenario 51-51%'!G51</f>
        <v>6.4364638168267305</v>
      </c>
      <c r="Y18" s="162">
        <f>'Scenario 51-51%'!H51</f>
        <v>62.880982109298884</v>
      </c>
      <c r="Z18" s="162"/>
      <c r="AA18" s="162"/>
      <c r="AC18" s="177">
        <f t="shared" si="141"/>
        <v>2021</v>
      </c>
      <c r="AD18" s="173">
        <f>'Scenario 61-33%'!C51</f>
        <v>39.439582806773323</v>
      </c>
      <c r="AE18" s="173">
        <f>'Scenario 61-33%'!D51</f>
        <v>0.60698426400733474</v>
      </c>
      <c r="AF18" s="178">
        <f>'Scenario 61-33%'!E51</f>
        <v>2.4288542705006529E-2</v>
      </c>
      <c r="AG18" s="173">
        <f>'Scenario 61-33%'!F51</f>
        <v>16.995559392205372</v>
      </c>
      <c r="AH18" s="173">
        <f>'Scenario 61-33%'!G51</f>
        <v>6.4364638168267305</v>
      </c>
      <c r="AI18" s="173">
        <f>'Scenario 61-33%'!H51</f>
        <v>62.871606015805426</v>
      </c>
      <c r="AJ18" s="173"/>
      <c r="AK18" s="173"/>
      <c r="AM18" s="182">
        <f t="shared" si="142"/>
        <v>2021</v>
      </c>
      <c r="AN18" s="179">
        <f>'Scenario 65-25%'!C51</f>
        <v>39.435832369375916</v>
      </c>
      <c r="AO18" s="179">
        <f>'Scenario 65-25%'!D51</f>
        <v>0.60698426400733474</v>
      </c>
      <c r="AP18" s="179">
        <f>'Scenario 65-25%'!E51</f>
        <v>2.4288542705006529E-2</v>
      </c>
      <c r="AQ18" s="179">
        <f>'Scenario 65-25%'!F51</f>
        <v>16.995559392205372</v>
      </c>
      <c r="AR18" s="179">
        <f>'Scenario 65-25%'!G51</f>
        <v>6.4364638168267305</v>
      </c>
      <c r="AS18" s="179">
        <f>'Scenario 65-25%'!H51</f>
        <v>62.867855578408019</v>
      </c>
      <c r="AT18" s="179"/>
      <c r="AU18" s="179"/>
      <c r="AW18" s="187">
        <f t="shared" si="143"/>
        <v>2021</v>
      </c>
      <c r="AX18" s="184">
        <f>'Scenario 69-19%'!C51</f>
        <v>41.81151164486662</v>
      </c>
      <c r="AY18" s="184">
        <f>'Scenario 69-19%'!D51</f>
        <v>0.60698426400733474</v>
      </c>
      <c r="AZ18" s="184">
        <f>'Scenario 69-19%'!E51</f>
        <v>2.4288542705006529E-2</v>
      </c>
      <c r="BA18" s="184">
        <f>'Scenario 69-19%'!F51</f>
        <v>16.995559392205372</v>
      </c>
      <c r="BB18" s="184">
        <f>'Scenario 69-19%'!G51</f>
        <v>6.4364638168267305</v>
      </c>
      <c r="BC18" s="184">
        <f>'Scenario 69-19%'!H51</f>
        <v>65.243534853898723</v>
      </c>
      <c r="BD18" s="184"/>
      <c r="BE18" s="184"/>
      <c r="BG18" s="86"/>
      <c r="BH18" s="2"/>
      <c r="BI18" s="2"/>
      <c r="BJ18" s="2"/>
      <c r="BK18" s="2"/>
      <c r="BL18" s="2"/>
      <c r="BM18" s="2"/>
      <c r="BN18" s="2"/>
      <c r="BO18" s="2"/>
      <c r="BQ18" s="192">
        <f t="shared" si="145"/>
        <v>2021</v>
      </c>
      <c r="BR18" s="190">
        <f>WAM!C51</f>
        <v>41.967334731719113</v>
      </c>
      <c r="BS18" s="190">
        <f>WAM!D51</f>
        <v>0.58383889273555045</v>
      </c>
      <c r="BT18" s="190">
        <f>WAM!E51</f>
        <v>2.2585600488491758E-2</v>
      </c>
      <c r="BU18" s="190">
        <f>WAM!F51</f>
        <v>16.347488996595413</v>
      </c>
      <c r="BV18" s="190">
        <f>WAM!G51</f>
        <v>5.9851841294503156</v>
      </c>
      <c r="BW18" s="190">
        <f>WAM!H51</f>
        <v>64.30000785776484</v>
      </c>
      <c r="BX18" s="190"/>
      <c r="BY18" s="190"/>
      <c r="CC18" s="2"/>
      <c r="CD18" s="2"/>
      <c r="CE18" s="2"/>
      <c r="CF18" s="2"/>
      <c r="CG18" s="2"/>
      <c r="CH18" s="2"/>
      <c r="CL18" s="2"/>
      <c r="CM18" s="2"/>
      <c r="CN18" s="2"/>
      <c r="CO18" s="2"/>
      <c r="CP18" s="2"/>
      <c r="CQ18" s="2"/>
      <c r="CR18" s="134"/>
      <c r="CS18" s="134"/>
      <c r="CT18" s="134"/>
      <c r="CU18" s="135"/>
      <c r="CV18" s="135"/>
      <c r="CW18" s="135"/>
      <c r="CX18" s="135"/>
      <c r="CY18" s="135"/>
      <c r="CZ18" s="135"/>
      <c r="DA18" s="134"/>
      <c r="DB18" s="134"/>
      <c r="DL18" s="2">
        <f t="shared" si="75"/>
        <v>2027</v>
      </c>
      <c r="DM18">
        <f t="shared" si="76"/>
        <v>1.6419472867711775E-2</v>
      </c>
      <c r="DN18" s="2">
        <f t="shared" si="77"/>
        <v>1.8204552276431432E-2</v>
      </c>
      <c r="DO18">
        <f t="shared" si="78"/>
        <v>1.9340511900162123E-2</v>
      </c>
      <c r="DP18">
        <f t="shared" si="79"/>
        <v>2.0476471523892814E-2</v>
      </c>
      <c r="DQ18">
        <f t="shared" si="80"/>
        <v>2.1693571120747115E-2</v>
      </c>
      <c r="DR18" s="2">
        <f t="shared" si="81"/>
        <v>2.0278428563695598E-2</v>
      </c>
      <c r="DS18" s="86">
        <f t="shared" si="82"/>
        <v>2027</v>
      </c>
      <c r="DT18" s="2">
        <f t="shared" si="83"/>
        <v>0</v>
      </c>
      <c r="DU18" s="2">
        <f t="shared" si="84"/>
        <v>0</v>
      </c>
      <c r="DV18" s="2">
        <f t="shared" si="85"/>
        <v>0</v>
      </c>
      <c r="DW18" s="2">
        <f t="shared" si="86"/>
        <v>0</v>
      </c>
      <c r="DX18" s="2">
        <f t="shared" si="87"/>
        <v>0</v>
      </c>
      <c r="DY18">
        <f t="shared" si="88"/>
        <v>0</v>
      </c>
      <c r="DZ18">
        <f t="shared" si="66"/>
        <v>2027</v>
      </c>
      <c r="EA18" s="2">
        <f t="shared" si="102"/>
        <v>0</v>
      </c>
      <c r="EB18" s="2">
        <f t="shared" si="89"/>
        <v>0</v>
      </c>
      <c r="EC18" s="2">
        <f t="shared" si="90"/>
        <v>0</v>
      </c>
      <c r="ED18" s="2">
        <f t="shared" si="91"/>
        <v>0</v>
      </c>
      <c r="EE18" s="2">
        <f t="shared" si="92"/>
        <v>0</v>
      </c>
      <c r="EF18" s="2">
        <f t="shared" si="92"/>
        <v>0</v>
      </c>
      <c r="EG18">
        <f t="shared" si="67"/>
        <v>2027</v>
      </c>
      <c r="EH18">
        <f t="shared" si="93"/>
        <v>0</v>
      </c>
      <c r="EI18">
        <f t="shared" si="94"/>
        <v>0</v>
      </c>
      <c r="EJ18">
        <f t="shared" si="95"/>
        <v>0</v>
      </c>
      <c r="EK18">
        <f t="shared" si="103"/>
        <v>0</v>
      </c>
      <c r="EL18">
        <f t="shared" si="103"/>
        <v>0</v>
      </c>
      <c r="EP18">
        <f t="shared" si="146"/>
        <v>2021</v>
      </c>
      <c r="EQ18" s="131">
        <f t="shared" si="147"/>
        <v>62.880982109298884</v>
      </c>
      <c r="ER18" s="131">
        <f t="shared" si="148"/>
        <v>62.875356453202762</v>
      </c>
      <c r="ES18" s="131">
        <f t="shared" si="149"/>
        <v>62.871606015805426</v>
      </c>
      <c r="ET18" s="131">
        <f t="shared" si="150"/>
        <v>62.867855578408019</v>
      </c>
      <c r="EU18" s="131">
        <f t="shared" si="151"/>
        <v>64.30000785776484</v>
      </c>
      <c r="EV18" s="2">
        <f t="shared" si="152"/>
        <v>62.873950039178766</v>
      </c>
      <c r="EW18" s="3">
        <f>1-EU18/EU$15</f>
        <v>5.9058517449655956E-2</v>
      </c>
      <c r="EX18" s="3">
        <f>1-EV18/EV$15</f>
        <v>7.9593304442050261E-2</v>
      </c>
    </row>
    <row r="19" spans="1:156" x14ac:dyDescent="0.35">
      <c r="A19">
        <f t="shared" si="133"/>
        <v>2022</v>
      </c>
      <c r="B19" s="162">
        <f t="shared" si="134"/>
        <v>61.970554852836258</v>
      </c>
      <c r="C19" s="79">
        <f t="shared" si="135"/>
        <v>62.245385238884019</v>
      </c>
      <c r="D19" s="173">
        <f t="shared" si="136"/>
        <v>62.419936353878299</v>
      </c>
      <c r="E19" s="179">
        <f t="shared" si="137"/>
        <v>62.594487468872614</v>
      </c>
      <c r="F19" s="184">
        <f t="shared" si="138"/>
        <v>61.696596909415625</v>
      </c>
      <c r="G19" s="2">
        <f t="shared" si="139"/>
        <v>62.185392164777362</v>
      </c>
      <c r="I19" s="158">
        <f>'Scenario 57-40%'!B52</f>
        <v>2022</v>
      </c>
      <c r="J19" s="79">
        <f>'Scenario 57-40%'!C52</f>
        <v>39.791121384432152</v>
      </c>
      <c r="K19" s="79">
        <f>'Scenario 57-40%'!D52</f>
        <v>0.58129901066215994</v>
      </c>
      <c r="L19" s="79">
        <f>'Scenario 57-40%'!E52</f>
        <v>2.3312798324193917E-2</v>
      </c>
      <c r="M19" s="79">
        <f>'Scenario 57-40%'!F52</f>
        <v>16.27637229854048</v>
      </c>
      <c r="N19" s="79">
        <f>'Scenario 57-40%'!G52</f>
        <v>6.1778915559113878</v>
      </c>
      <c r="O19" s="79">
        <f>'Scenario 57-40%'!H52</f>
        <v>62.245385238884019</v>
      </c>
      <c r="P19" s="79"/>
      <c r="Q19" s="79"/>
      <c r="S19" s="157">
        <f t="shared" si="140"/>
        <v>2022</v>
      </c>
      <c r="T19" s="162">
        <f>'Scenario 51-51%'!C52</f>
        <v>39.802372696624296</v>
      </c>
      <c r="U19" s="162">
        <f>'Scenario 51-51%'!D52</f>
        <v>0.57389755741139381</v>
      </c>
      <c r="V19" s="162">
        <f>'Scenario 51-51%'!E52</f>
        <v>2.3015285089407308E-2</v>
      </c>
      <c r="W19" s="162">
        <f>'Scenario 51-51%'!F52</f>
        <v>16.069131607519026</v>
      </c>
      <c r="X19" s="162">
        <f>'Scenario 51-51%'!G52</f>
        <v>6.0990505486929365</v>
      </c>
      <c r="Y19" s="162">
        <f>'Scenario 51-51%'!H52</f>
        <v>61.970554852836258</v>
      </c>
      <c r="Z19" s="162"/>
      <c r="AA19" s="162"/>
      <c r="AC19" s="177">
        <f t="shared" si="141"/>
        <v>2022</v>
      </c>
      <c r="AD19" s="173">
        <f>'Scenario 61-33%'!C52</f>
        <v>39.783620509637402</v>
      </c>
      <c r="AE19" s="173">
        <f>'Scenario 61-33%'!D52</f>
        <v>0.58600902636719299</v>
      </c>
      <c r="AF19" s="178">
        <f>'Scenario 61-33%'!E52</f>
        <v>2.3502124928149033E-2</v>
      </c>
      <c r="AG19" s="173">
        <f>'Scenario 61-33%'!F52</f>
        <v>16.408252738281405</v>
      </c>
      <c r="AH19" s="173">
        <f>'Scenario 61-33%'!G52</f>
        <v>6.2280631059594933</v>
      </c>
      <c r="AI19" s="173">
        <f>'Scenario 61-33%'!H52</f>
        <v>62.419936353878299</v>
      </c>
      <c r="AJ19" s="173"/>
      <c r="AK19" s="173"/>
      <c r="AM19" s="182">
        <f t="shared" si="142"/>
        <v>2022</v>
      </c>
      <c r="AN19" s="179">
        <f>'Scenario 65-25%'!C52</f>
        <v>39.776119634842686</v>
      </c>
      <c r="AO19" s="179">
        <f>'Scenario 65-25%'!D52</f>
        <v>0.59071904207222603</v>
      </c>
      <c r="AP19" s="179">
        <f>'Scenario 65-25%'!E52</f>
        <v>2.3691451532104148E-2</v>
      </c>
      <c r="AQ19" s="179">
        <f>'Scenario 65-25%'!F52</f>
        <v>16.54013317802233</v>
      </c>
      <c r="AR19" s="179">
        <f>'Scenario 65-25%'!G52</f>
        <v>6.2782346560075988</v>
      </c>
      <c r="AS19" s="179">
        <f>'Scenario 65-25%'!H52</f>
        <v>62.594487468872614</v>
      </c>
      <c r="AT19" s="179"/>
      <c r="AU19" s="179"/>
      <c r="AW19" s="187">
        <f t="shared" si="143"/>
        <v>2022</v>
      </c>
      <c r="AX19" s="184">
        <f>'Scenario 69-19%'!C52</f>
        <v>38.683173372040308</v>
      </c>
      <c r="AY19" s="184">
        <f>'Scenario 69-19%'!D52</f>
        <v>0.59576548747047564</v>
      </c>
      <c r="AZ19" s="184">
        <f>'Scenario 69-19%'!E52</f>
        <v>2.3894301464913198E-2</v>
      </c>
      <c r="BA19" s="184">
        <f>'Scenario 69-19%'!F52</f>
        <v>16.681433649173318</v>
      </c>
      <c r="BB19" s="184">
        <f>'Scenario 69-19%'!G52</f>
        <v>6.3319898882019974</v>
      </c>
      <c r="BC19" s="184">
        <f>'Scenario 69-19%'!H52</f>
        <v>61.696596909415625</v>
      </c>
      <c r="BD19" s="184"/>
      <c r="BE19" s="184"/>
      <c r="BG19" s="86"/>
      <c r="BH19" s="2"/>
      <c r="BI19" s="2"/>
      <c r="BJ19" s="2"/>
      <c r="BK19" s="2"/>
      <c r="BL19" s="2"/>
      <c r="BM19" s="2"/>
      <c r="BN19" s="2"/>
      <c r="BO19" s="2"/>
      <c r="BQ19" s="192">
        <f t="shared" si="145"/>
        <v>2022</v>
      </c>
      <c r="BR19" s="190">
        <f>WAM!C52</f>
        <v>42.730746179162182</v>
      </c>
      <c r="BS19" s="190">
        <f>WAM!D52</f>
        <v>0.57804438643499789</v>
      </c>
      <c r="BT19" s="190">
        <f>WAM!E52</f>
        <v>2.2263098238083701E-2</v>
      </c>
      <c r="BU19" s="190">
        <f>WAM!F52</f>
        <v>16.185242820179941</v>
      </c>
      <c r="BV19" s="190">
        <f>WAM!G52</f>
        <v>5.899721033092181</v>
      </c>
      <c r="BW19" s="190">
        <f>WAM!H52</f>
        <v>64.815710032434311</v>
      </c>
      <c r="BX19" s="190"/>
      <c r="BY19" s="190"/>
      <c r="CC19" s="2"/>
      <c r="CD19" s="2"/>
      <c r="CE19" s="2"/>
      <c r="CF19" s="2"/>
      <c r="CG19" s="2"/>
      <c r="CH19" s="2"/>
      <c r="CL19" s="2"/>
      <c r="CM19" s="2"/>
      <c r="CN19" s="2"/>
      <c r="CO19" s="2"/>
      <c r="CP19" s="2"/>
      <c r="CQ19" s="2"/>
      <c r="CR19" s="134"/>
      <c r="CS19" s="134"/>
      <c r="CT19" s="134"/>
      <c r="CU19" s="135"/>
      <c r="CV19" s="135"/>
      <c r="CW19" s="135"/>
      <c r="CX19" s="135"/>
      <c r="CY19" s="135"/>
      <c r="CZ19" s="135"/>
      <c r="DA19" s="134"/>
      <c r="DB19" s="134"/>
      <c r="DL19" s="2">
        <f t="shared" si="75"/>
        <v>2028</v>
      </c>
      <c r="DM19">
        <f t="shared" si="76"/>
        <v>1.5049643348508104E-2</v>
      </c>
      <c r="DN19" s="2">
        <f t="shared" si="77"/>
        <v>1.7132235992014373E-2</v>
      </c>
      <c r="DO19">
        <f t="shared" si="78"/>
        <v>1.8457522219700179E-2</v>
      </c>
      <c r="DP19">
        <f t="shared" si="79"/>
        <v>1.9782808447385985E-2</v>
      </c>
      <c r="DQ19">
        <f t="shared" si="80"/>
        <v>2.1202757977049336E-2</v>
      </c>
      <c r="DR19" s="2">
        <f t="shared" si="81"/>
        <v>1.9840267160055495E-2</v>
      </c>
      <c r="DS19" s="86">
        <f t="shared" si="82"/>
        <v>2028</v>
      </c>
      <c r="DT19" s="2">
        <f t="shared" si="83"/>
        <v>0</v>
      </c>
      <c r="DU19" s="2">
        <f t="shared" si="84"/>
        <v>0</v>
      </c>
      <c r="DV19" s="2">
        <f t="shared" si="85"/>
        <v>0</v>
      </c>
      <c r="DW19" s="2">
        <f t="shared" si="86"/>
        <v>0</v>
      </c>
      <c r="DX19" s="2">
        <f t="shared" si="87"/>
        <v>0</v>
      </c>
      <c r="DY19">
        <f t="shared" si="88"/>
        <v>0</v>
      </c>
      <c r="DZ19">
        <f t="shared" si="66"/>
        <v>2028</v>
      </c>
      <c r="EA19" s="2">
        <f t="shared" si="102"/>
        <v>0</v>
      </c>
      <c r="EB19" s="2">
        <f t="shared" si="89"/>
        <v>0</v>
      </c>
      <c r="EC19" s="2">
        <f t="shared" si="90"/>
        <v>0</v>
      </c>
      <c r="ED19" s="2">
        <f t="shared" si="91"/>
        <v>0</v>
      </c>
      <c r="EE19" s="2">
        <f t="shared" si="92"/>
        <v>0</v>
      </c>
      <c r="EF19" s="2">
        <f t="shared" si="92"/>
        <v>0</v>
      </c>
      <c r="EG19">
        <f t="shared" si="67"/>
        <v>2028</v>
      </c>
      <c r="EH19">
        <f t="shared" si="93"/>
        <v>0</v>
      </c>
      <c r="EI19">
        <f t="shared" si="94"/>
        <v>0</v>
      </c>
      <c r="EJ19">
        <f t="shared" si="95"/>
        <v>0</v>
      </c>
      <c r="EK19">
        <f t="shared" si="103"/>
        <v>0</v>
      </c>
      <c r="EL19">
        <f t="shared" si="103"/>
        <v>0</v>
      </c>
      <c r="EP19">
        <f t="shared" si="146"/>
        <v>2022</v>
      </c>
      <c r="EQ19" s="131">
        <f t="shared" si="147"/>
        <v>61.970554852836258</v>
      </c>
      <c r="ER19" s="131">
        <f t="shared" si="148"/>
        <v>62.245385238884019</v>
      </c>
      <c r="ES19" s="131">
        <f t="shared" si="149"/>
        <v>62.419936353878299</v>
      </c>
      <c r="ET19" s="131">
        <f t="shared" si="150"/>
        <v>62.594487468872614</v>
      </c>
      <c r="EU19" s="131">
        <f t="shared" si="151"/>
        <v>64.815710032434311</v>
      </c>
      <c r="EV19" s="2">
        <f t="shared" si="152"/>
        <v>62.307590978617796</v>
      </c>
      <c r="EW19" s="3">
        <f t="shared" si="153"/>
        <v>5.1511930987935495E-2</v>
      </c>
      <c r="EX19" s="3">
        <f t="shared" si="153"/>
        <v>8.7884189158302428E-2</v>
      </c>
    </row>
    <row r="20" spans="1:156" x14ac:dyDescent="0.35">
      <c r="A20">
        <f t="shared" si="133"/>
        <v>2023</v>
      </c>
      <c r="B20" s="162">
        <f t="shared" si="134"/>
        <v>61.670385206634542</v>
      </c>
      <c r="C20" s="79">
        <f t="shared" si="135"/>
        <v>62.225671634826185</v>
      </c>
      <c r="D20" s="173">
        <f t="shared" si="136"/>
        <v>62.578524302212031</v>
      </c>
      <c r="E20" s="179">
        <f t="shared" si="137"/>
        <v>62.931376969597949</v>
      </c>
      <c r="F20" s="184">
        <f t="shared" si="138"/>
        <v>58.430550765655759</v>
      </c>
      <c r="G20" s="2">
        <f t="shared" si="139"/>
        <v>61.567301775785289</v>
      </c>
      <c r="I20" s="158">
        <f>'Scenario 57-40%'!B53</f>
        <v>2023</v>
      </c>
      <c r="J20" s="79">
        <f>'Scenario 57-40%'!C53</f>
        <v>40.468275334231322</v>
      </c>
      <c r="K20" s="79">
        <f>'Scenario 57-40%'!D53</f>
        <v>0.56157035102336328</v>
      </c>
      <c r="L20" s="79">
        <f>'Scenario 57-40%'!E53</f>
        <v>2.2767647063927147E-2</v>
      </c>
      <c r="M20" s="79">
        <f>'Scenario 57-40%'!F53</f>
        <v>15.723969828654171</v>
      </c>
      <c r="N20" s="79">
        <f>'Scenario 57-40%'!G53</f>
        <v>6.033426471940694</v>
      </c>
      <c r="O20" s="79">
        <f>'Scenario 57-40%'!H53</f>
        <v>62.225671634826185</v>
      </c>
      <c r="P20" s="79"/>
      <c r="Q20" s="79"/>
      <c r="S20" s="157">
        <f t="shared" si="140"/>
        <v>2023</v>
      </c>
      <c r="T20" s="162">
        <f>'Scenario 51-51%'!C53</f>
        <v>40.485152302519481</v>
      </c>
      <c r="U20" s="162">
        <f>'Scenario 51-51%'!D53</f>
        <v>0.54676744452183101</v>
      </c>
      <c r="V20" s="162">
        <f>'Scenario 51-51%'!E53</f>
        <v>2.2172620594353928E-2</v>
      </c>
      <c r="W20" s="162">
        <f>'Scenario 51-51%'!F53</f>
        <v>15.309488446611269</v>
      </c>
      <c r="X20" s="162">
        <f>'Scenario 51-51%'!G53</f>
        <v>5.8757444575037905</v>
      </c>
      <c r="Y20" s="162">
        <f>'Scenario 51-51%'!H53</f>
        <v>61.670385206634542</v>
      </c>
      <c r="Z20" s="162"/>
      <c r="AA20" s="162"/>
      <c r="AC20" s="177">
        <f t="shared" si="141"/>
        <v>2023</v>
      </c>
      <c r="AD20" s="173">
        <f>'Scenario 61-33%'!C53</f>
        <v>40.4570240220391</v>
      </c>
      <c r="AE20" s="173">
        <f>'Scenario 61-33%'!D53</f>
        <v>0.57099038243342937</v>
      </c>
      <c r="AF20" s="178">
        <f>'Scenario 61-33%'!E53</f>
        <v>2.3146300271837377E-2</v>
      </c>
      <c r="AG20" s="173">
        <f>'Scenario 61-33%'!F53</f>
        <v>15.987730708136022</v>
      </c>
      <c r="AH20" s="173">
        <f>'Scenario 61-33%'!G53</f>
        <v>6.133769572036905</v>
      </c>
      <c r="AI20" s="173">
        <f>'Scenario 61-33%'!H53</f>
        <v>62.578524302212031</v>
      </c>
      <c r="AJ20" s="173"/>
      <c r="AK20" s="173"/>
      <c r="AM20" s="182">
        <f t="shared" si="142"/>
        <v>2023</v>
      </c>
      <c r="AN20" s="179">
        <f>'Scenario 65-25%'!C53</f>
        <v>40.445772709846956</v>
      </c>
      <c r="AO20" s="179">
        <f>'Scenario 65-25%'!D53</f>
        <v>0.58041041384349545</v>
      </c>
      <c r="AP20" s="179">
        <f>'Scenario 65-25%'!E53</f>
        <v>2.3524953479747607E-2</v>
      </c>
      <c r="AQ20" s="179">
        <f>'Scenario 65-25%'!F53</f>
        <v>16.251491587617874</v>
      </c>
      <c r="AR20" s="179">
        <f>'Scenario 65-25%'!G53</f>
        <v>6.2341126721331159</v>
      </c>
      <c r="AS20" s="179">
        <f>'Scenario 65-25%'!H53</f>
        <v>62.931376969597949</v>
      </c>
      <c r="AT20" s="179"/>
      <c r="AU20" s="179"/>
      <c r="AW20" s="187">
        <f t="shared" si="143"/>
        <v>2023</v>
      </c>
      <c r="AX20" s="184">
        <f>'Scenario 69-19%'!C53</f>
        <v>35.554835099213996</v>
      </c>
      <c r="AY20" s="184">
        <f>'Scenario 69-19%'!D53</f>
        <v>0.59050330463999468</v>
      </c>
      <c r="AZ20" s="184">
        <f>'Scenario 69-19%'!E53</f>
        <v>2.3930653345365708E-2</v>
      </c>
      <c r="BA20" s="184">
        <f>'Scenario 69-19%'!F53</f>
        <v>16.53409252991985</v>
      </c>
      <c r="BB20" s="184">
        <f>'Scenario 69-19%'!G53</f>
        <v>6.3416231365219122</v>
      </c>
      <c r="BC20" s="184">
        <f>'Scenario 69-19%'!H53</f>
        <v>58.430550765655759</v>
      </c>
      <c r="BD20" s="184"/>
      <c r="BE20" s="184"/>
      <c r="BG20" s="86"/>
      <c r="BH20" s="2"/>
      <c r="BI20" s="2"/>
      <c r="BJ20" s="2"/>
      <c r="BK20" s="2"/>
      <c r="BL20" s="2"/>
      <c r="BM20" s="2"/>
      <c r="BN20" s="2"/>
      <c r="BO20" s="2"/>
      <c r="BQ20" s="192">
        <f t="shared" si="145"/>
        <v>2023</v>
      </c>
      <c r="BR20" s="190">
        <f>WAM!C53</f>
        <v>44.16374861720292</v>
      </c>
      <c r="BS20" s="190">
        <f>WAM!D53</f>
        <v>0.57460283572353643</v>
      </c>
      <c r="BT20" s="190">
        <f>WAM!E53</f>
        <v>2.1964318484345276E-2</v>
      </c>
      <c r="BU20" s="190">
        <f>WAM!F53</f>
        <v>16.088879400259021</v>
      </c>
      <c r="BV20" s="190">
        <f>WAM!G53</f>
        <v>5.8205443983514984</v>
      </c>
      <c r="BW20" s="190">
        <f>WAM!H53</f>
        <v>66.073172415813445</v>
      </c>
      <c r="BX20" s="190"/>
      <c r="BY20" s="190"/>
      <c r="CC20" s="2"/>
      <c r="CD20" s="2"/>
      <c r="CE20" s="2"/>
      <c r="CF20" s="2"/>
      <c r="CG20" s="2"/>
      <c r="CH20" s="2"/>
      <c r="CL20" s="2"/>
      <c r="CM20" s="2"/>
      <c r="CN20" s="2"/>
      <c r="CO20" s="2"/>
      <c r="CP20" s="2"/>
      <c r="CQ20" s="2"/>
      <c r="CR20" s="134"/>
      <c r="CS20" s="134"/>
      <c r="CT20" s="134"/>
      <c r="CU20" s="135"/>
      <c r="CV20" s="135"/>
      <c r="CW20" s="135"/>
      <c r="CX20" s="135"/>
      <c r="CY20" s="135"/>
      <c r="CZ20" s="135"/>
      <c r="DA20" s="134"/>
      <c r="DB20" s="134"/>
      <c r="DL20" s="2">
        <f t="shared" si="75"/>
        <v>2029</v>
      </c>
      <c r="DM20">
        <f t="shared" si="76"/>
        <v>1.3739482420279323E-2</v>
      </c>
      <c r="DN20" s="2">
        <f t="shared" si="77"/>
        <v>1.6119588298572199E-2</v>
      </c>
      <c r="DO20">
        <f t="shared" si="78"/>
        <v>1.763420113021312E-2</v>
      </c>
      <c r="DP20">
        <f t="shared" si="79"/>
        <v>1.9148813961854041E-2</v>
      </c>
      <c r="DQ20">
        <f t="shared" si="80"/>
        <v>2.0771613424326443E-2</v>
      </c>
      <c r="DR20" s="2">
        <f t="shared" si="81"/>
        <v>1.9429517461533281E-2</v>
      </c>
      <c r="DS20" s="86">
        <f t="shared" si="82"/>
        <v>2029</v>
      </c>
      <c r="DT20" s="2">
        <f t="shared" si="83"/>
        <v>0</v>
      </c>
      <c r="DU20" s="2">
        <f t="shared" si="84"/>
        <v>0</v>
      </c>
      <c r="DV20" s="2">
        <f t="shared" si="85"/>
        <v>0</v>
      </c>
      <c r="DW20" s="2">
        <f t="shared" si="86"/>
        <v>0</v>
      </c>
      <c r="DX20" s="2">
        <f t="shared" si="87"/>
        <v>0</v>
      </c>
      <c r="DY20">
        <f t="shared" si="88"/>
        <v>0</v>
      </c>
      <c r="DZ20">
        <f t="shared" si="66"/>
        <v>2029</v>
      </c>
      <c r="EA20" s="2">
        <f t="shared" si="102"/>
        <v>0</v>
      </c>
      <c r="EB20" s="2">
        <f t="shared" si="89"/>
        <v>0</v>
      </c>
      <c r="EC20" s="2">
        <f t="shared" si="90"/>
        <v>0</v>
      </c>
      <c r="ED20" s="2">
        <f t="shared" si="91"/>
        <v>0</v>
      </c>
      <c r="EE20" s="2">
        <f t="shared" si="92"/>
        <v>0</v>
      </c>
      <c r="EF20" s="2">
        <f t="shared" si="92"/>
        <v>0</v>
      </c>
      <c r="EG20">
        <f t="shared" si="67"/>
        <v>2029</v>
      </c>
      <c r="EH20">
        <f t="shared" si="93"/>
        <v>0</v>
      </c>
      <c r="EI20">
        <f t="shared" si="94"/>
        <v>0</v>
      </c>
      <c r="EJ20">
        <f t="shared" si="95"/>
        <v>0</v>
      </c>
      <c r="EK20">
        <f t="shared" si="103"/>
        <v>0</v>
      </c>
      <c r="EL20">
        <f t="shared" si="103"/>
        <v>0</v>
      </c>
      <c r="EP20">
        <f t="shared" si="146"/>
        <v>2023</v>
      </c>
      <c r="EQ20" s="131">
        <f t="shared" si="147"/>
        <v>61.670385206634542</v>
      </c>
      <c r="ER20" s="131">
        <f t="shared" si="148"/>
        <v>62.225671634826185</v>
      </c>
      <c r="ES20" s="131">
        <f t="shared" si="149"/>
        <v>62.578524302212031</v>
      </c>
      <c r="ET20" s="131">
        <f t="shared" si="150"/>
        <v>62.931376969597949</v>
      </c>
      <c r="EU20" s="131">
        <f t="shared" si="151"/>
        <v>66.073172415813445</v>
      </c>
      <c r="EV20" s="2">
        <f t="shared" si="152"/>
        <v>62.351489528317678</v>
      </c>
      <c r="EW20" s="3">
        <f t="shared" si="153"/>
        <v>3.311071209717964E-2</v>
      </c>
      <c r="EX20" s="3">
        <f t="shared" si="153"/>
        <v>8.7241561821482017E-2</v>
      </c>
    </row>
    <row r="21" spans="1:156" x14ac:dyDescent="0.35">
      <c r="A21">
        <f t="shared" si="133"/>
        <v>2024</v>
      </c>
      <c r="B21" s="162">
        <f t="shared" si="134"/>
        <v>56.187660637912458</v>
      </c>
      <c r="C21" s="79">
        <f t="shared" si="135"/>
        <v>56.432546055724217</v>
      </c>
      <c r="D21" s="173">
        <f t="shared" si="136"/>
        <v>56.529561485673824</v>
      </c>
      <c r="E21" s="179">
        <f t="shared" si="137"/>
        <v>56.585693890572301</v>
      </c>
      <c r="F21" s="184">
        <f t="shared" si="138"/>
        <v>54.667800944999541</v>
      </c>
      <c r="G21" s="2">
        <f t="shared" si="139"/>
        <v>56.080652602976478</v>
      </c>
      <c r="I21" s="158">
        <f>'Scenario 57-40%'!B54</f>
        <v>2024</v>
      </c>
      <c r="J21" s="79">
        <f>'Scenario 57-40%'!C54</f>
        <v>35.868720985882703</v>
      </c>
      <c r="K21" s="79">
        <f>'Scenario 57-40%'!D54</f>
        <v>0.53130858935696113</v>
      </c>
      <c r="L21" s="79">
        <f>'Scenario 57-40%'!E54</f>
        <v>2.1461073840930576E-2</v>
      </c>
      <c r="M21" s="79">
        <f>'Scenario 57-40%'!F54</f>
        <v>14.876640501994912</v>
      </c>
      <c r="N21" s="79">
        <f>'Scenario 57-40%'!G54</f>
        <v>5.6871845678466029</v>
      </c>
      <c r="O21" s="79">
        <f>'Scenario 57-40%'!H54</f>
        <v>56.432546055724217</v>
      </c>
      <c r="P21" s="79"/>
      <c r="Q21" s="79"/>
      <c r="S21" s="157">
        <f t="shared" si="140"/>
        <v>2024</v>
      </c>
      <c r="T21" s="162">
        <f>'Scenario 51-51%'!C54</f>
        <v>36.482080662790658</v>
      </c>
      <c r="U21" s="162">
        <f>'Scenario 51-51%'!D54</f>
        <v>0.50910422960466262</v>
      </c>
      <c r="V21" s="162">
        <f>'Scenario 51-51%'!E54</f>
        <v>2.0568534136570747E-2</v>
      </c>
      <c r="W21" s="162">
        <f>'Scenario 51-51%'!F54</f>
        <v>14.254918428930553</v>
      </c>
      <c r="X21" s="162">
        <f>'Scenario 51-51%'!G54</f>
        <v>5.450661546191248</v>
      </c>
      <c r="Y21" s="162">
        <f>'Scenario 51-51%'!H54</f>
        <v>56.187660637912458</v>
      </c>
      <c r="Z21" s="162"/>
      <c r="AA21" s="162"/>
      <c r="AC21" s="177">
        <f t="shared" si="141"/>
        <v>2024</v>
      </c>
      <c r="AD21" s="173">
        <f>'Scenario 61-33%'!C54</f>
        <v>35.419580446465218</v>
      </c>
      <c r="AE21" s="173">
        <f>'Scenario 61-33%'!D54</f>
        <v>0.54543863647206026</v>
      </c>
      <c r="AF21" s="178">
        <f>'Scenario 61-33%'!E54</f>
        <v>2.2029053652795921E-2</v>
      </c>
      <c r="AG21" s="173">
        <f>'Scenario 61-33%'!F54</f>
        <v>15.272281821217687</v>
      </c>
      <c r="AH21" s="173">
        <f>'Scenario 61-33%'!G54</f>
        <v>5.8376992179909193</v>
      </c>
      <c r="AI21" s="173">
        <f>'Scenario 61-33%'!H54</f>
        <v>56.529561485673824</v>
      </c>
      <c r="AJ21" s="173"/>
      <c r="AK21" s="173"/>
      <c r="AM21" s="182">
        <f t="shared" si="142"/>
        <v>2024</v>
      </c>
      <c r="AN21" s="179">
        <f>'Scenario 65-25%'!C54</f>
        <v>34.929556881996604</v>
      </c>
      <c r="AO21" s="179">
        <f>'Scenario 65-25%'!D54</f>
        <v>0.55956868358715939</v>
      </c>
      <c r="AP21" s="179">
        <f>'Scenario 65-25%'!E54</f>
        <v>2.2597033464661267E-2</v>
      </c>
      <c r="AQ21" s="179">
        <f>'Scenario 65-25%'!F54</f>
        <v>15.667923140440463</v>
      </c>
      <c r="AR21" s="179">
        <f>'Scenario 65-25%'!G54</f>
        <v>5.9882138681352357</v>
      </c>
      <c r="AS21" s="179">
        <f>'Scenario 65-25%'!H54</f>
        <v>56.585693890572301</v>
      </c>
      <c r="AT21" s="179"/>
      <c r="AU21" s="179"/>
      <c r="AW21" s="187">
        <f t="shared" si="143"/>
        <v>2024</v>
      </c>
      <c r="AX21" s="184">
        <f>'Scenario 69-19%'!C54</f>
        <v>32.426496826387684</v>
      </c>
      <c r="AY21" s="184">
        <f>'Scenario 69-19%'!D54</f>
        <v>0.57470801978190822</v>
      </c>
      <c r="AZ21" s="184">
        <f>'Scenario 69-19%'!E54</f>
        <v>2.3205583263088417E-2</v>
      </c>
      <c r="BA21" s="184">
        <f>'Scenario 69-19%'!F54</f>
        <v>16.091824553893431</v>
      </c>
      <c r="BB21" s="184">
        <f>'Scenario 69-19%'!G54</f>
        <v>6.1494795647184306</v>
      </c>
      <c r="BC21" s="184">
        <f>'Scenario 69-19%'!H54</f>
        <v>54.667800944999541</v>
      </c>
      <c r="BD21" s="184"/>
      <c r="BE21" s="184"/>
      <c r="BG21" s="86"/>
      <c r="BH21" s="2"/>
      <c r="BI21" s="2"/>
      <c r="BJ21" s="2"/>
      <c r="BK21" s="2"/>
      <c r="BL21" s="2"/>
      <c r="BM21" s="2"/>
      <c r="BN21" s="2"/>
      <c r="BO21" s="2"/>
      <c r="BQ21" s="192">
        <f t="shared" si="145"/>
        <v>2024</v>
      </c>
      <c r="BR21" s="190">
        <f>WAM!C54</f>
        <v>42.029979630872887</v>
      </c>
      <c r="BS21" s="190">
        <f>WAM!D54</f>
        <v>0.56856205420313466</v>
      </c>
      <c r="BT21" s="190">
        <f>WAM!E54</f>
        <v>2.1549354148568324E-2</v>
      </c>
      <c r="BU21" s="190">
        <f>WAM!F54</f>
        <v>15.919737517687771</v>
      </c>
      <c r="BV21" s="190">
        <f>WAM!G54</f>
        <v>5.7105788493706058</v>
      </c>
      <c r="BW21" s="190">
        <f>WAM!H54</f>
        <v>63.660295997931264</v>
      </c>
      <c r="BX21" s="190"/>
      <c r="BY21" s="190"/>
      <c r="CC21" s="2"/>
      <c r="CD21" s="2"/>
      <c r="CE21" s="2"/>
      <c r="CF21" s="2"/>
      <c r="CG21" s="2"/>
      <c r="CH21" s="2"/>
      <c r="CL21" s="2"/>
      <c r="CM21" s="2"/>
      <c r="CN21" s="2"/>
      <c r="CO21" s="2"/>
      <c r="CP21" s="2"/>
      <c r="CQ21" s="2"/>
      <c r="CR21" s="134"/>
      <c r="CS21" s="134"/>
      <c r="CT21" s="134"/>
      <c r="CU21" s="135"/>
      <c r="CV21" s="135"/>
      <c r="CW21" s="135"/>
      <c r="CX21" s="135"/>
      <c r="CY21" s="135"/>
      <c r="CZ21" s="135"/>
      <c r="DA21" s="134"/>
      <c r="DB21" s="134"/>
      <c r="DL21" s="2">
        <f t="shared" si="75"/>
        <v>2030</v>
      </c>
      <c r="DM21">
        <f t="shared" si="76"/>
        <v>1.2567380324375299E-2</v>
      </c>
      <c r="DN21" s="2">
        <f t="shared" si="77"/>
        <v>1.5244999437454785E-2</v>
      </c>
      <c r="DO21">
        <f t="shared" si="78"/>
        <v>1.6948938873050819E-2</v>
      </c>
      <c r="DP21">
        <f t="shared" si="79"/>
        <v>1.8652878308646856E-2</v>
      </c>
      <c r="DQ21">
        <f t="shared" si="80"/>
        <v>2.0478527703928308E-2</v>
      </c>
      <c r="DR21" s="2">
        <f t="shared" si="81"/>
        <v>1.9050040558681376E-2</v>
      </c>
      <c r="DS21" s="86">
        <f t="shared" si="82"/>
        <v>2030</v>
      </c>
      <c r="DT21" s="2">
        <f t="shared" si="83"/>
        <v>0</v>
      </c>
      <c r="DU21" s="2">
        <f t="shared" si="84"/>
        <v>0</v>
      </c>
      <c r="DV21" s="2">
        <f t="shared" si="85"/>
        <v>0</v>
      </c>
      <c r="DW21" s="2">
        <f t="shared" si="86"/>
        <v>0</v>
      </c>
      <c r="DX21" s="2">
        <f t="shared" si="87"/>
        <v>0</v>
      </c>
      <c r="DY21">
        <f t="shared" si="88"/>
        <v>0</v>
      </c>
      <c r="DZ21">
        <f t="shared" si="66"/>
        <v>2030</v>
      </c>
      <c r="EA21" s="2">
        <f t="shared" si="102"/>
        <v>0</v>
      </c>
      <c r="EB21" s="2">
        <f t="shared" si="89"/>
        <v>0</v>
      </c>
      <c r="EC21" s="2">
        <f t="shared" si="90"/>
        <v>0</v>
      </c>
      <c r="ED21" s="2">
        <f t="shared" si="91"/>
        <v>0</v>
      </c>
      <c r="EE21" s="2">
        <f t="shared" si="92"/>
        <v>0</v>
      </c>
      <c r="EF21" s="2">
        <f t="shared" si="92"/>
        <v>0</v>
      </c>
      <c r="EG21">
        <f t="shared" si="67"/>
        <v>2030</v>
      </c>
      <c r="EH21">
        <f t="shared" si="93"/>
        <v>0</v>
      </c>
      <c r="EI21">
        <f t="shared" si="94"/>
        <v>0</v>
      </c>
      <c r="EJ21">
        <f t="shared" si="95"/>
        <v>0</v>
      </c>
      <c r="EK21">
        <f t="shared" si="103"/>
        <v>0</v>
      </c>
      <c r="EL21">
        <f t="shared" si="103"/>
        <v>0</v>
      </c>
      <c r="EP21">
        <f t="shared" si="146"/>
        <v>2024</v>
      </c>
      <c r="EQ21" s="131">
        <f t="shared" si="147"/>
        <v>56.187660637912458</v>
      </c>
      <c r="ER21" s="131">
        <f t="shared" si="148"/>
        <v>56.432546055724217</v>
      </c>
      <c r="ES21" s="131">
        <f t="shared" si="149"/>
        <v>56.529561485673824</v>
      </c>
      <c r="ET21" s="131">
        <f t="shared" si="150"/>
        <v>56.585693890572301</v>
      </c>
      <c r="EU21" s="131">
        <f t="shared" si="151"/>
        <v>63.660295997931264</v>
      </c>
      <c r="EV21" s="2">
        <f t="shared" si="152"/>
        <v>56.433865517470707</v>
      </c>
      <c r="EW21" s="3">
        <f t="shared" si="153"/>
        <v>6.8419813751957381E-2</v>
      </c>
      <c r="EX21" s="3">
        <f t="shared" si="153"/>
        <v>0.17386918356282455</v>
      </c>
    </row>
    <row r="22" spans="1:156" x14ac:dyDescent="0.35">
      <c r="A22">
        <f t="shared" si="133"/>
        <v>2025</v>
      </c>
      <c r="B22" s="162">
        <f t="shared" si="134"/>
        <v>52.090212957000716</v>
      </c>
      <c r="C22" s="79">
        <f t="shared" si="135"/>
        <v>52.131771953851981</v>
      </c>
      <c r="D22" s="173">
        <f t="shared" si="136"/>
        <v>52.063476844692637</v>
      </c>
      <c r="E22" s="179">
        <f t="shared" si="137"/>
        <v>51.935804008673315</v>
      </c>
      <c r="F22" s="184">
        <f t="shared" si="138"/>
        <v>51.110135831566602</v>
      </c>
      <c r="G22" s="2">
        <f t="shared" si="139"/>
        <v>51.866280319157042</v>
      </c>
      <c r="I22" s="158">
        <f>'Scenario 57-40%'!B55</f>
        <v>2025</v>
      </c>
      <c r="J22" s="79">
        <f>'Scenario 57-40%'!C55</f>
        <v>32.556433407540545</v>
      </c>
      <c r="K22" s="79">
        <f>'Scenario 57-40%'!D55</f>
        <v>0.5053958555837732</v>
      </c>
      <c r="L22" s="79">
        <f>'Scenario 57-40%'!E55</f>
        <v>2.0468885245153903E-2</v>
      </c>
      <c r="M22" s="79">
        <f>'Scenario 57-40%'!F55</f>
        <v>14.15108395634565</v>
      </c>
      <c r="N22" s="79">
        <f>'Scenario 57-40%'!G55</f>
        <v>5.4242545899657841</v>
      </c>
      <c r="O22" s="79">
        <f>'Scenario 57-40%'!H55</f>
        <v>52.131771953851981</v>
      </c>
      <c r="P22" s="79"/>
      <c r="Q22" s="79"/>
      <c r="S22" s="157">
        <f t="shared" si="140"/>
        <v>2025</v>
      </c>
      <c r="T22" s="162">
        <f>'Scenario 51-51%'!C55</f>
        <v>33.659201203648905</v>
      </c>
      <c r="U22" s="162">
        <f>'Scenario 51-51%'!D55</f>
        <v>0.47579004258070851</v>
      </c>
      <c r="V22" s="162">
        <f>'Scenario 51-51%'!E55</f>
        <v>1.9278832306007465E-2</v>
      </c>
      <c r="W22" s="162">
        <f>'Scenario 51-51%'!F55</f>
        <v>13.322121192259837</v>
      </c>
      <c r="X22" s="162">
        <f>'Scenario 51-51%'!G55</f>
        <v>5.1088905610919779</v>
      </c>
      <c r="Y22" s="162">
        <f>'Scenario 51-51%'!H55</f>
        <v>52.090212957000716</v>
      </c>
      <c r="Z22" s="162"/>
      <c r="AA22" s="162"/>
      <c r="AC22" s="177">
        <f t="shared" si="141"/>
        <v>2025</v>
      </c>
      <c r="AD22" s="173">
        <f>'Scenario 61-33%'!C55</f>
        <v>31.759930339225079</v>
      </c>
      <c r="AE22" s="173">
        <f>'Scenario 61-33%'!D55</f>
        <v>0.52423591840390538</v>
      </c>
      <c r="AF22" s="178">
        <f>'Scenario 61-33%'!E55</f>
        <v>2.1226191660974364E-2</v>
      </c>
      <c r="AG22" s="173">
        <f>'Scenario 61-33%'!F55</f>
        <v>14.678605715309351</v>
      </c>
      <c r="AH22" s="173">
        <f>'Scenario 61-33%'!G55</f>
        <v>5.624940790158206</v>
      </c>
      <c r="AI22" s="173">
        <f>'Scenario 61-33%'!H55</f>
        <v>52.063476844692637</v>
      </c>
      <c r="AJ22" s="173"/>
      <c r="AK22" s="173"/>
      <c r="AM22" s="182">
        <f t="shared" si="142"/>
        <v>2025</v>
      </c>
      <c r="AN22" s="179">
        <f>'Scenario 65-25%'!C55</f>
        <v>30.904049544049634</v>
      </c>
      <c r="AO22" s="179">
        <f>'Scenario 65-25%'!D55</f>
        <v>0.54307598122403755</v>
      </c>
      <c r="AP22" s="179">
        <f>'Scenario 65-25%'!E55</f>
        <v>2.1983498076794825E-2</v>
      </c>
      <c r="AQ22" s="179">
        <f>'Scenario 65-25%'!F55</f>
        <v>15.206127474273051</v>
      </c>
      <c r="AR22" s="179">
        <f>'Scenario 65-25%'!G55</f>
        <v>5.8256269903506288</v>
      </c>
      <c r="AS22" s="179">
        <f>'Scenario 65-25%'!H55</f>
        <v>51.935804008673315</v>
      </c>
      <c r="AT22" s="179"/>
      <c r="AU22" s="179"/>
      <c r="AW22" s="187">
        <f t="shared" si="143"/>
        <v>2025</v>
      </c>
      <c r="AX22" s="184">
        <f>'Scenario 69-19%'!C55</f>
        <v>29.298158553561372</v>
      </c>
      <c r="AY22" s="184">
        <f>'Scenario 69-19%'!D55</f>
        <v>0.56326176281703599</v>
      </c>
      <c r="AZ22" s="184">
        <f>'Scenario 69-19%'!E55</f>
        <v>2.2794897808031025E-2</v>
      </c>
      <c r="BA22" s="184">
        <f>'Scenario 69-19%'!F55</f>
        <v>15.771329358877008</v>
      </c>
      <c r="BB22" s="184">
        <f>'Scenario 69-19%'!G55</f>
        <v>6.0406479191282214</v>
      </c>
      <c r="BC22" s="184">
        <f>'Scenario 69-19%'!H55</f>
        <v>51.110135831566602</v>
      </c>
      <c r="BD22" s="184"/>
      <c r="BE22" s="184"/>
      <c r="BG22" s="86"/>
      <c r="BH22" s="2"/>
      <c r="BI22" s="2"/>
      <c r="BJ22" s="2"/>
      <c r="BK22" s="2"/>
      <c r="BL22" s="2"/>
      <c r="BM22" s="2"/>
      <c r="BN22" s="2"/>
      <c r="BO22" s="2"/>
      <c r="BQ22" s="192">
        <f t="shared" si="145"/>
        <v>2025</v>
      </c>
      <c r="BR22" s="190">
        <f>WAM!C55</f>
        <v>41.007666260575206</v>
      </c>
      <c r="BS22" s="190">
        <f>WAM!D55</f>
        <v>0.56052726293969291</v>
      </c>
      <c r="BT22" s="190">
        <f>WAM!E55</f>
        <v>2.11495104961863E-2</v>
      </c>
      <c r="BU22" s="190">
        <f>WAM!F55</f>
        <v>15.694763362311402</v>
      </c>
      <c r="BV22" s="190">
        <f>WAM!G55</f>
        <v>5.6046202814893693</v>
      </c>
      <c r="BW22" s="190">
        <f>WAM!H55</f>
        <v>62.30704990437598</v>
      </c>
      <c r="BX22" s="190"/>
      <c r="BY22" s="190"/>
      <c r="CC22" s="2"/>
      <c r="CD22" s="2"/>
      <c r="CE22" s="2"/>
      <c r="CF22" s="2"/>
      <c r="CG22" s="2"/>
      <c r="CH22" s="2"/>
      <c r="CL22" s="2"/>
      <c r="CM22" s="2"/>
      <c r="CN22" s="2"/>
      <c r="CO22" s="2"/>
      <c r="CP22" s="2"/>
      <c r="CQ22" s="2"/>
      <c r="CR22" s="134"/>
      <c r="CS22" s="134"/>
      <c r="CT22" s="134"/>
      <c r="CU22" s="135"/>
      <c r="CV22" s="135"/>
      <c r="CW22" s="135"/>
      <c r="CX22" s="135"/>
      <c r="CY22" s="135"/>
      <c r="CZ22" s="135"/>
      <c r="DA22" s="134"/>
      <c r="DB22" s="134"/>
      <c r="DL22" s="2">
        <f t="shared" si="75"/>
        <v>2031</v>
      </c>
      <c r="DM22">
        <f t="shared" si="76"/>
        <v>1.2567380324375299E-2</v>
      </c>
      <c r="DN22" s="2">
        <f t="shared" si="77"/>
        <v>1.5244999437454785E-2</v>
      </c>
      <c r="DO22">
        <f t="shared" si="78"/>
        <v>1.6948938873050819E-2</v>
      </c>
      <c r="DP22">
        <f t="shared" si="79"/>
        <v>1.8652878308646856E-2</v>
      </c>
      <c r="DQ22">
        <f t="shared" si="80"/>
        <v>2.0478527703928308E-2</v>
      </c>
      <c r="DR22" s="2">
        <f t="shared" si="81"/>
        <v>1.9080954359167127E-2</v>
      </c>
      <c r="DS22" s="86">
        <f t="shared" si="82"/>
        <v>2031</v>
      </c>
      <c r="DT22" s="2">
        <f t="shared" si="83"/>
        <v>-0.16651778929797273</v>
      </c>
      <c r="DU22" s="2">
        <f t="shared" si="84"/>
        <v>-0.20199624254627588</v>
      </c>
      <c r="DV22" s="2">
        <f t="shared" si="85"/>
        <v>-0.22457344006792335</v>
      </c>
      <c r="DW22" s="2">
        <f t="shared" si="86"/>
        <v>-0.24715063758957084</v>
      </c>
      <c r="DX22" s="2">
        <f t="shared" si="87"/>
        <v>-0.27134049207705008</v>
      </c>
      <c r="DY22">
        <f t="shared" si="88"/>
        <v>-0.25391117297571114</v>
      </c>
      <c r="DZ22">
        <f t="shared" si="66"/>
        <v>2031</v>
      </c>
      <c r="EA22" s="2">
        <f t="shared" si="102"/>
        <v>-0.16651778929797273</v>
      </c>
      <c r="EB22" s="2">
        <f t="shared" si="89"/>
        <v>-0.20199624254627588</v>
      </c>
      <c r="EC22" s="2">
        <f t="shared" si="90"/>
        <v>-0.22457344006792335</v>
      </c>
      <c r="ED22" s="2">
        <f t="shared" si="91"/>
        <v>-0.24715063758957084</v>
      </c>
      <c r="EE22" s="2">
        <f t="shared" si="92"/>
        <v>-0.27134049207705008</v>
      </c>
      <c r="EF22" s="2">
        <f t="shared" si="92"/>
        <v>-0.25391117297571114</v>
      </c>
      <c r="EG22">
        <f t="shared" si="67"/>
        <v>2031</v>
      </c>
      <c r="EH22" s="1">
        <f t="shared" si="93"/>
        <v>-7.493300518408772E-5</v>
      </c>
      <c r="EI22" s="1">
        <f t="shared" si="94"/>
        <v>-9.0898309145824143E-5</v>
      </c>
      <c r="EJ22" s="1">
        <f t="shared" si="95"/>
        <v>-1.0105804803056551E-4</v>
      </c>
      <c r="EK22" s="1">
        <f t="shared" si="103"/>
        <v>-1.1121778691530687E-4</v>
      </c>
      <c r="EL22" s="1">
        <f t="shared" si="103"/>
        <v>-1.2210322143467253E-4</v>
      </c>
      <c r="EP22">
        <f t="shared" si="146"/>
        <v>2025</v>
      </c>
      <c r="EQ22" s="131">
        <f t="shared" si="147"/>
        <v>52.090212957000716</v>
      </c>
      <c r="ER22" s="131">
        <f t="shared" si="148"/>
        <v>52.131771953851981</v>
      </c>
      <c r="ES22" s="131">
        <f t="shared" si="149"/>
        <v>52.063476844692637</v>
      </c>
      <c r="ET22" s="131">
        <f t="shared" si="150"/>
        <v>51.935804008673315</v>
      </c>
      <c r="EU22" s="131">
        <f t="shared" si="151"/>
        <v>62.30704990437598</v>
      </c>
      <c r="EV22" s="2">
        <f t="shared" si="152"/>
        <v>52.055316441054657</v>
      </c>
      <c r="EW22" s="3">
        <f t="shared" si="153"/>
        <v>8.8222694466094098E-2</v>
      </c>
      <c r="EX22" s="3">
        <f t="shared" si="153"/>
        <v>0.23796641117857253</v>
      </c>
      <c r="EY22" s="3">
        <f>EW22</f>
        <v>8.8222694466094098E-2</v>
      </c>
      <c r="EZ22" s="3">
        <f>EX22</f>
        <v>0.23796641117857253</v>
      </c>
    </row>
    <row r="23" spans="1:156" x14ac:dyDescent="0.35">
      <c r="A23">
        <f t="shared" si="133"/>
        <v>2026</v>
      </c>
      <c r="B23" s="162">
        <f t="shared" si="134"/>
        <v>47.064766214040688</v>
      </c>
      <c r="C23" s="79">
        <f t="shared" si="135"/>
        <v>46.993525488258847</v>
      </c>
      <c r="D23" s="173">
        <f t="shared" si="136"/>
        <v>46.835845457942462</v>
      </c>
      <c r="E23" s="179">
        <f t="shared" si="137"/>
        <v>46.61586748469113</v>
      </c>
      <c r="F23" s="184">
        <f t="shared" si="138"/>
        <v>47.350110608897921</v>
      </c>
      <c r="G23" s="2">
        <f t="shared" si="139"/>
        <v>46.972023050766211</v>
      </c>
      <c r="I23" s="158">
        <f>'Scenario 57-40%'!B56</f>
        <v>2026</v>
      </c>
      <c r="J23" s="79">
        <f>'Scenario 57-40%'!C56</f>
        <v>28.609033574713234</v>
      </c>
      <c r="K23" s="79">
        <f>'Scenario 57-40%'!D56</f>
        <v>0.47519187176344252</v>
      </c>
      <c r="L23" s="79">
        <f>'Scenario 57-40%'!E56</f>
        <v>1.9166488694978199E-2</v>
      </c>
      <c r="M23" s="79">
        <f>'Scenario 57-40%'!F56</f>
        <v>13.305372409376391</v>
      </c>
      <c r="N23" s="79">
        <f>'Scenario 57-40%'!G56</f>
        <v>5.0791195041692223</v>
      </c>
      <c r="O23" s="79">
        <f>'Scenario 57-40%'!H56</f>
        <v>46.993525488258847</v>
      </c>
      <c r="P23" s="79"/>
      <c r="Q23" s="79"/>
      <c r="S23" s="157">
        <f t="shared" si="140"/>
        <v>2026</v>
      </c>
      <c r="T23" s="162">
        <f>'Scenario 51-51%'!C56</f>
        <v>30.1106827916946</v>
      </c>
      <c r="U23" s="162">
        <f>'Scenario 51-51%'!D56</f>
        <v>0.43818460550961169</v>
      </c>
      <c r="V23" s="162">
        <f>'Scenario 51-51%'!E56</f>
        <v>1.7678922521045151E-2</v>
      </c>
      <c r="W23" s="162">
        <f>'Scenario 51-51%'!F56</f>
        <v>12.269168954269126</v>
      </c>
      <c r="X23" s="162">
        <f>'Scenario 51-51%'!G56</f>
        <v>4.6849144680769648</v>
      </c>
      <c r="Y23" s="162">
        <f>'Scenario 51-51%'!H56</f>
        <v>47.064766214040688</v>
      </c>
      <c r="Z23" s="162"/>
      <c r="AA23" s="162"/>
      <c r="AC23" s="177">
        <f t="shared" si="141"/>
        <v>2026</v>
      </c>
      <c r="AD23" s="173">
        <f>'Scenario 61-33%'!C56</f>
        <v>27.541093595451695</v>
      </c>
      <c r="AE23" s="173">
        <f>'Scenario 61-33%'!D56</f>
        <v>0.49874195028860768</v>
      </c>
      <c r="AF23" s="178">
        <f>'Scenario 61-33%'!E56</f>
        <v>2.0113121714753775E-2</v>
      </c>
      <c r="AG23" s="173">
        <f>'Scenario 61-33%'!F56</f>
        <v>13.964774608081015</v>
      </c>
      <c r="AH23" s="173">
        <f>'Scenario 61-33%'!G56</f>
        <v>5.3299772544097506</v>
      </c>
      <c r="AI23" s="173">
        <f>'Scenario 61-33%'!H56</f>
        <v>46.835845457942462</v>
      </c>
      <c r="AJ23" s="173"/>
      <c r="AK23" s="173"/>
      <c r="AM23" s="182">
        <f t="shared" si="142"/>
        <v>2026</v>
      </c>
      <c r="AN23" s="179">
        <f>'Scenario 65-25%'!C56</f>
        <v>26.410855673255206</v>
      </c>
      <c r="AO23" s="179">
        <f>'Scenario 65-25%'!D56</f>
        <v>0.52229202881377301</v>
      </c>
      <c r="AP23" s="179">
        <f>'Scenario 65-25%'!E56</f>
        <v>2.1059754734529351E-2</v>
      </c>
      <c r="AQ23" s="179">
        <f>'Scenario 65-25%'!F56</f>
        <v>14.624176806785645</v>
      </c>
      <c r="AR23" s="179">
        <f>'Scenario 65-25%'!G56</f>
        <v>5.5808350046502779</v>
      </c>
      <c r="AS23" s="179">
        <f>'Scenario 65-25%'!H56</f>
        <v>46.61586748469113</v>
      </c>
      <c r="AT23" s="179"/>
      <c r="AU23" s="179"/>
      <c r="AW23" s="187">
        <f t="shared" si="143"/>
        <v>2026</v>
      </c>
      <c r="AX23" s="184">
        <f>'Scenario 69-19%'!C56</f>
        <v>26.16982028073506</v>
      </c>
      <c r="AY23" s="184">
        <f>'Scenario 69-19%'!D56</f>
        <v>0.54752425580502107</v>
      </c>
      <c r="AZ23" s="184">
        <f>'Scenario 69-19%'!E56</f>
        <v>2.2074004398574602E-2</v>
      </c>
      <c r="BA23" s="184">
        <f>'Scenario 69-19%'!F56</f>
        <v>15.330679162540591</v>
      </c>
      <c r="BB23" s="184">
        <f>'Scenario 69-19%'!G56</f>
        <v>5.8496111656222691</v>
      </c>
      <c r="BC23" s="184">
        <f>'Scenario 69-19%'!H56</f>
        <v>47.350110608897921</v>
      </c>
      <c r="BD23" s="184"/>
      <c r="BE23" s="184"/>
      <c r="BG23" s="86"/>
      <c r="BH23" s="2"/>
      <c r="BI23" s="2"/>
      <c r="BJ23" s="2"/>
      <c r="BK23" s="2"/>
      <c r="BL23" s="2"/>
      <c r="BM23" s="2"/>
      <c r="BN23" s="2"/>
      <c r="BO23" s="2"/>
      <c r="BQ23" s="192">
        <f t="shared" si="145"/>
        <v>2026</v>
      </c>
      <c r="BR23" s="190">
        <f>WAM!C56</f>
        <v>37.937121340515439</v>
      </c>
      <c r="BS23" s="190">
        <f>WAM!D56</f>
        <v>0.55036766728215014</v>
      </c>
      <c r="BT23" s="190">
        <f>WAM!E56</f>
        <v>2.0657539633650593E-2</v>
      </c>
      <c r="BU23" s="190">
        <f>WAM!F56</f>
        <v>15.410294683900204</v>
      </c>
      <c r="BV23" s="190">
        <f>WAM!G56</f>
        <v>5.474248002917407</v>
      </c>
      <c r="BW23" s="190">
        <f>WAM!H56</f>
        <v>58.82166402733305</v>
      </c>
      <c r="BX23" s="190"/>
      <c r="BY23" s="190"/>
      <c r="CC23" s="2"/>
      <c r="CD23" s="2"/>
      <c r="CE23" s="2"/>
      <c r="CF23" s="2"/>
      <c r="CG23" s="2"/>
      <c r="CH23" s="2"/>
      <c r="CL23" s="2"/>
      <c r="CM23" s="2"/>
      <c r="CN23" s="2"/>
      <c r="CO23" s="2"/>
      <c r="CP23" s="2"/>
      <c r="CQ23" s="2"/>
      <c r="CR23" s="134"/>
      <c r="CS23" s="134"/>
      <c r="CT23" s="134"/>
      <c r="CU23" s="135"/>
      <c r="CV23" s="135"/>
      <c r="CW23" s="135"/>
      <c r="CX23" s="135"/>
      <c r="CY23" s="135"/>
      <c r="CZ23" s="135"/>
      <c r="DA23" s="134"/>
      <c r="DB23" s="134"/>
      <c r="DL23" s="2">
        <f t="shared" si="75"/>
        <v>2032</v>
      </c>
      <c r="DM23">
        <f t="shared" si="76"/>
        <v>1.2567380324375299E-2</v>
      </c>
      <c r="DN23" s="2">
        <f t="shared" si="77"/>
        <v>1.5244999437454785E-2</v>
      </c>
      <c r="DO23">
        <f t="shared" si="78"/>
        <v>1.6948938873050819E-2</v>
      </c>
      <c r="DP23">
        <f t="shared" si="79"/>
        <v>1.8652878308646856E-2</v>
      </c>
      <c r="DQ23">
        <f t="shared" si="80"/>
        <v>2.0478527703928308E-2</v>
      </c>
      <c r="DR23" s="2">
        <f t="shared" si="81"/>
        <v>1.9057902924445574E-2</v>
      </c>
      <c r="DS23" s="86">
        <f t="shared" si="82"/>
        <v>2032</v>
      </c>
      <c r="DT23" s="2">
        <f t="shared" si="83"/>
        <v>-0.33303557859594546</v>
      </c>
      <c r="DU23" s="2">
        <f t="shared" si="84"/>
        <v>-0.40399248509255176</v>
      </c>
      <c r="DV23" s="2">
        <f t="shared" si="85"/>
        <v>-0.44914688013584669</v>
      </c>
      <c r="DW23" s="2">
        <f t="shared" si="86"/>
        <v>-0.49430127517914169</v>
      </c>
      <c r="DX23" s="2">
        <f t="shared" si="87"/>
        <v>-0.54268098415410015</v>
      </c>
      <c r="DY23">
        <f t="shared" si="88"/>
        <v>-0.50782234595142228</v>
      </c>
      <c r="DZ23">
        <f t="shared" si="66"/>
        <v>2032</v>
      </c>
      <c r="EA23" s="2">
        <f t="shared" si="102"/>
        <v>-0.49955336789391819</v>
      </c>
      <c r="EB23" s="2">
        <f t="shared" si="89"/>
        <v>-0.60598872763882761</v>
      </c>
      <c r="EC23" s="2">
        <f t="shared" si="90"/>
        <v>-0.67372032020377004</v>
      </c>
      <c r="ED23" s="2">
        <f t="shared" si="91"/>
        <v>-0.74145191276871247</v>
      </c>
      <c r="EE23" s="2">
        <f t="shared" si="92"/>
        <v>-0.81402147623115018</v>
      </c>
      <c r="EF23" s="2">
        <f t="shared" si="92"/>
        <v>-0.76173351892713348</v>
      </c>
      <c r="EG23">
        <f t="shared" si="67"/>
        <v>2032</v>
      </c>
      <c r="EH23" s="1">
        <f t="shared" si="93"/>
        <v>-2.2479901555226317E-4</v>
      </c>
      <c r="EI23" s="1">
        <f t="shared" si="94"/>
        <v>-2.7269492743747239E-4</v>
      </c>
      <c r="EJ23" s="1">
        <f t="shared" si="95"/>
        <v>-3.031741440916965E-4</v>
      </c>
      <c r="EK23" s="1">
        <f t="shared" si="103"/>
        <v>-3.336533607459206E-4</v>
      </c>
      <c r="EL23" s="1">
        <f>EE23*$EG$2</f>
        <v>-3.6630966430401755E-4</v>
      </c>
      <c r="EP23">
        <f t="shared" si="146"/>
        <v>2026</v>
      </c>
      <c r="EQ23" s="131">
        <f t="shared" si="147"/>
        <v>47.064766214040688</v>
      </c>
      <c r="ER23" s="131">
        <f t="shared" si="148"/>
        <v>46.993525488258847</v>
      </c>
      <c r="ES23" s="131">
        <f t="shared" si="149"/>
        <v>46.835845457942462</v>
      </c>
      <c r="ET23" s="131">
        <f t="shared" si="150"/>
        <v>46.61586748469113</v>
      </c>
      <c r="EU23" s="131">
        <f t="shared" si="151"/>
        <v>58.82166402733305</v>
      </c>
      <c r="EV23" s="2">
        <f t="shared" si="152"/>
        <v>46.877501161233283</v>
      </c>
      <c r="EW23" s="3">
        <f t="shared" si="153"/>
        <v>0.13922648534679405</v>
      </c>
      <c r="EX23" s="3">
        <f t="shared" si="153"/>
        <v>0.31376403243411943</v>
      </c>
    </row>
    <row r="24" spans="1:156" x14ac:dyDescent="0.35">
      <c r="A24">
        <f t="shared" si="133"/>
        <v>2027</v>
      </c>
      <c r="B24" s="162">
        <f t="shared" si="134"/>
        <v>43.484423574830316</v>
      </c>
      <c r="C24" s="79">
        <f t="shared" si="135"/>
        <v>43.380202365800841</v>
      </c>
      <c r="D24" s="173">
        <f t="shared" si="136"/>
        <v>43.198355573337437</v>
      </c>
      <c r="E24" s="179">
        <f t="shared" si="137"/>
        <v>42.961024675447646</v>
      </c>
      <c r="F24" s="184">
        <f t="shared" si="138"/>
        <v>43.812180108333692</v>
      </c>
      <c r="G24" s="2">
        <f t="shared" si="139"/>
        <v>43.367237259549981</v>
      </c>
      <c r="I24" s="158">
        <f>'Scenario 57-40%'!B57</f>
        <v>2027</v>
      </c>
      <c r="J24" s="79">
        <f>'Scenario 57-40%'!C57</f>
        <v>25.964462362916588</v>
      </c>
      <c r="K24" s="79">
        <f>'Scenario 57-40%'!D57</f>
        <v>0.44969763034392596</v>
      </c>
      <c r="L24" s="79">
        <f>'Scenario 57-40%'!E57</f>
        <v>1.8204552276431432E-2</v>
      </c>
      <c r="M24" s="79">
        <f>'Scenario 57-40%'!F57</f>
        <v>12.591533649629927</v>
      </c>
      <c r="N24" s="79">
        <f>'Scenario 57-40%'!G57</f>
        <v>4.8242063532543291</v>
      </c>
      <c r="O24" s="79">
        <f>'Scenario 57-40%'!H57</f>
        <v>43.380202365800841</v>
      </c>
      <c r="P24" s="79"/>
      <c r="Q24" s="79"/>
      <c r="S24" s="157">
        <f t="shared" si="140"/>
        <v>2027</v>
      </c>
      <c r="T24" s="162">
        <f>'Scenario 51-51%'!C57</f>
        <v>27.785173761385483</v>
      </c>
      <c r="U24" s="162">
        <f>'Scenario 51-51%'!D57</f>
        <v>0.40528891083932894</v>
      </c>
      <c r="V24" s="162">
        <f>'Scenario 51-51%'!E57</f>
        <v>1.6419472867711775E-2</v>
      </c>
      <c r="W24" s="162">
        <f>'Scenario 51-51%'!F57</f>
        <v>11.34808950350121</v>
      </c>
      <c r="X24" s="162">
        <f>'Scenario 51-51%'!G57</f>
        <v>4.3511603099436202</v>
      </c>
      <c r="Y24" s="162">
        <f>'Scenario 51-51%'!H57</f>
        <v>43.484423574830316</v>
      </c>
      <c r="Z24" s="162"/>
      <c r="AA24" s="162"/>
      <c r="AC24" s="177">
        <f t="shared" si="141"/>
        <v>2027</v>
      </c>
      <c r="AD24" s="173">
        <f>'Scenario 61-33%'!C57</f>
        <v>24.690303631719004</v>
      </c>
      <c r="AE24" s="173">
        <f>'Scenario 61-33%'!D57</f>
        <v>0.47795772457412411</v>
      </c>
      <c r="AF24" s="178">
        <f>'Scenario 61-33%'!E57</f>
        <v>1.9340511900162123E-2</v>
      </c>
      <c r="AG24" s="173">
        <f>'Scenario 61-33%'!F57</f>
        <v>13.382816288075475</v>
      </c>
      <c r="AH24" s="173">
        <f>'Scenario 61-33%'!G57</f>
        <v>5.1252356535429628</v>
      </c>
      <c r="AI24" s="173">
        <f>'Scenario 61-33%'!H57</f>
        <v>43.198355573337437</v>
      </c>
      <c r="AJ24" s="173"/>
      <c r="AK24" s="173"/>
      <c r="AM24" s="182">
        <f t="shared" si="142"/>
        <v>2027</v>
      </c>
      <c r="AN24" s="179">
        <f>'Scenario 65-25%'!C57</f>
        <v>23.360660795095029</v>
      </c>
      <c r="AO24" s="179">
        <f>'Scenario 65-25%'!D57</f>
        <v>0.50621781880432237</v>
      </c>
      <c r="AP24" s="179">
        <f>'Scenario 65-25%'!E57</f>
        <v>2.0476471523892814E-2</v>
      </c>
      <c r="AQ24" s="179">
        <f>'Scenario 65-25%'!F57</f>
        <v>14.174098926521026</v>
      </c>
      <c r="AR24" s="179">
        <f>'Scenario 65-25%'!G57</f>
        <v>5.4262649538315957</v>
      </c>
      <c r="AS24" s="179">
        <f>'Scenario 65-25%'!H57</f>
        <v>42.961024675447646</v>
      </c>
      <c r="AT24" s="179"/>
      <c r="AU24" s="179"/>
      <c r="AW24" s="187">
        <f t="shared" si="143"/>
        <v>2027</v>
      </c>
      <c r="AX24" s="184">
        <f>'Scenario 69-19%'!C57</f>
        <v>23.041482007908748</v>
      </c>
      <c r="AY24" s="184">
        <f>'Scenario 69-19%'!D57</f>
        <v>0.53649649119382015</v>
      </c>
      <c r="AZ24" s="184">
        <f>'Scenario 69-19%'!E57</f>
        <v>2.1693571120747115E-2</v>
      </c>
      <c r="BA24" s="184">
        <f>'Scenario 69-19%'!F57</f>
        <v>15.021901753426963</v>
      </c>
      <c r="BB24" s="184">
        <f>'Scenario 69-19%'!G57</f>
        <v>5.7487963469979855</v>
      </c>
      <c r="BC24" s="184">
        <f>'Scenario 69-19%'!H57</f>
        <v>43.812180108333692</v>
      </c>
      <c r="BD24" s="184"/>
      <c r="BE24" s="184"/>
      <c r="BG24" s="86"/>
      <c r="BH24" s="2"/>
      <c r="BI24" s="2"/>
      <c r="BJ24" s="2"/>
      <c r="BK24" s="2"/>
      <c r="BL24" s="2"/>
      <c r="BM24" s="2"/>
      <c r="BN24" s="2"/>
      <c r="BO24" s="2"/>
      <c r="BQ24" s="192">
        <f t="shared" si="145"/>
        <v>2027</v>
      </c>
      <c r="BR24" s="190">
        <f>WAM!C57</f>
        <v>37.870878645431397</v>
      </c>
      <c r="BS24" s="190">
        <f>WAM!D57</f>
        <v>0.54064817881673566</v>
      </c>
      <c r="BT24" s="190">
        <f>WAM!E57</f>
        <v>2.0278428563695598E-2</v>
      </c>
      <c r="BU24" s="190">
        <f>WAM!F57</f>
        <v>15.138149006868598</v>
      </c>
      <c r="BV24" s="190">
        <f>WAM!G57</f>
        <v>5.3737835693793334</v>
      </c>
      <c r="BW24" s="190">
        <f>WAM!H57</f>
        <v>58.382811221679333</v>
      </c>
      <c r="BX24" s="190"/>
      <c r="BY24" s="190"/>
      <c r="CL24" s="2"/>
      <c r="CM24" s="2"/>
      <c r="CN24" s="2"/>
      <c r="CO24" s="2"/>
      <c r="CP24" s="2"/>
      <c r="CQ24" s="2"/>
      <c r="CR24" s="134"/>
      <c r="CS24" s="134"/>
      <c r="CT24" s="134"/>
      <c r="CU24" s="135"/>
      <c r="CV24" s="135"/>
      <c r="CW24" s="135"/>
      <c r="CX24" s="135"/>
      <c r="CY24" s="135"/>
      <c r="CZ24" s="135"/>
      <c r="DA24" s="134"/>
      <c r="DB24" s="134"/>
      <c r="DL24" s="2">
        <f t="shared" si="75"/>
        <v>2033</v>
      </c>
      <c r="DM24">
        <f t="shared" si="76"/>
        <v>1.2567380324375299E-2</v>
      </c>
      <c r="DN24" s="2">
        <f t="shared" si="77"/>
        <v>1.5244999437454785E-2</v>
      </c>
      <c r="DO24">
        <f t="shared" si="78"/>
        <v>1.6948938873050819E-2</v>
      </c>
      <c r="DP24">
        <f t="shared" si="79"/>
        <v>1.8652878308646856E-2</v>
      </c>
      <c r="DQ24">
        <f t="shared" si="80"/>
        <v>2.0478527703928308E-2</v>
      </c>
      <c r="DR24" s="2">
        <f t="shared" si="81"/>
        <v>1.9063571295598422E-2</v>
      </c>
      <c r="DS24" s="86">
        <f t="shared" si="82"/>
        <v>2033</v>
      </c>
      <c r="DT24" s="2">
        <f t="shared" si="83"/>
        <v>-0.49955336789391819</v>
      </c>
      <c r="DU24" s="2">
        <f t="shared" si="84"/>
        <v>-0.60598872763882761</v>
      </c>
      <c r="DV24" s="2">
        <f t="shared" si="85"/>
        <v>-0.67372032020377004</v>
      </c>
      <c r="DW24" s="2">
        <f t="shared" si="86"/>
        <v>-0.74145191276871247</v>
      </c>
      <c r="DX24" s="2">
        <f t="shared" si="87"/>
        <v>-0.81402147623115018</v>
      </c>
      <c r="DY24">
        <f t="shared" si="88"/>
        <v>-0.76173351892713348</v>
      </c>
      <c r="DZ24">
        <f t="shared" si="66"/>
        <v>2033</v>
      </c>
      <c r="EA24" s="2">
        <f t="shared" si="102"/>
        <v>-0.99910673578783638</v>
      </c>
      <c r="EB24" s="2">
        <f t="shared" si="89"/>
        <v>-1.2119774552776552</v>
      </c>
      <c r="EC24" s="2">
        <f t="shared" si="90"/>
        <v>-1.3474406404075401</v>
      </c>
      <c r="ED24" s="2">
        <f t="shared" si="91"/>
        <v>-1.4829038255374249</v>
      </c>
      <c r="EE24" s="2">
        <f t="shared" si="92"/>
        <v>-1.6280429524623004</v>
      </c>
      <c r="EF24" s="2">
        <f t="shared" si="92"/>
        <v>-1.523467037854267</v>
      </c>
      <c r="EG24">
        <f t="shared" si="67"/>
        <v>2033</v>
      </c>
      <c r="EH24" s="1">
        <f t="shared" si="93"/>
        <v>-4.4959803110452634E-4</v>
      </c>
      <c r="EI24" s="1">
        <f t="shared" si="94"/>
        <v>-5.4538985487494478E-4</v>
      </c>
      <c r="EJ24" s="1">
        <f t="shared" si="95"/>
        <v>-6.0634828818339299E-4</v>
      </c>
      <c r="EK24" s="1">
        <f t="shared" si="103"/>
        <v>-6.673067214918412E-4</v>
      </c>
      <c r="EL24" s="1">
        <f t="shared" si="103"/>
        <v>-7.326193286080351E-4</v>
      </c>
      <c r="EP24">
        <f t="shared" si="146"/>
        <v>2027</v>
      </c>
      <c r="EQ24" s="131">
        <f t="shared" si="147"/>
        <v>43.484423574830316</v>
      </c>
      <c r="ER24" s="131">
        <f t="shared" si="148"/>
        <v>43.380202365800841</v>
      </c>
      <c r="ES24" s="131">
        <f t="shared" si="149"/>
        <v>43.198355573337437</v>
      </c>
      <c r="ET24" s="131">
        <f t="shared" si="150"/>
        <v>42.961024675447646</v>
      </c>
      <c r="EU24" s="131">
        <f t="shared" si="151"/>
        <v>58.382811221679333</v>
      </c>
      <c r="EV24" s="2">
        <f t="shared" si="152"/>
        <v>43.25600154735406</v>
      </c>
      <c r="EW24" s="3">
        <f t="shared" si="153"/>
        <v>0.14564848782129802</v>
      </c>
      <c r="EX24" s="3">
        <f t="shared" si="153"/>
        <v>0.36677887388273067</v>
      </c>
    </row>
    <row r="25" spans="1:156" x14ac:dyDescent="0.35">
      <c r="A25">
        <f t="shared" si="133"/>
        <v>2028</v>
      </c>
      <c r="B25" s="162">
        <f t="shared" si="134"/>
        <v>39.67650149941278</v>
      </c>
      <c r="C25" s="79">
        <f t="shared" si="135"/>
        <v>39.607438182220619</v>
      </c>
      <c r="D25" s="173">
        <f t="shared" si="136"/>
        <v>39.454961922320095</v>
      </c>
      <c r="E25" s="179">
        <f t="shared" si="137"/>
        <v>39.261602637368448</v>
      </c>
      <c r="F25" s="184">
        <f t="shared" si="138"/>
        <v>40.202244743296504</v>
      </c>
      <c r="G25" s="2">
        <f t="shared" si="139"/>
        <v>39.640549796923686</v>
      </c>
      <c r="I25" s="158">
        <f>'Scenario 57-40%'!B58</f>
        <v>2028</v>
      </c>
      <c r="J25" s="79">
        <f>'Scenario 57-40%'!C58</f>
        <v>23.23245495447069</v>
      </c>
      <c r="K25" s="79">
        <f>'Scenario 57-40%'!D58</f>
        <v>0.42267645320950437</v>
      </c>
      <c r="L25" s="79">
        <f>'Scenario 57-40%'!E58</f>
        <v>1.7132235992014373E-2</v>
      </c>
      <c r="M25" s="79">
        <f>'Scenario 57-40%'!F58</f>
        <v>11.834940689866123</v>
      </c>
      <c r="N25" s="79">
        <f>'Scenario 57-40%'!G58</f>
        <v>4.5400425378838083</v>
      </c>
      <c r="O25" s="79">
        <f>'Scenario 57-40%'!H58</f>
        <v>39.607438182220619</v>
      </c>
      <c r="P25" s="79"/>
      <c r="Q25" s="79"/>
      <c r="S25" s="157">
        <f t="shared" si="140"/>
        <v>2028</v>
      </c>
      <c r="T25" s="162">
        <f>'Scenario 51-51%'!C58</f>
        <v>25.304090159342181</v>
      </c>
      <c r="U25" s="162">
        <f>'Scenario 51-51%'!D58</f>
        <v>0.37086628045414116</v>
      </c>
      <c r="V25" s="162">
        <f>'Scenario 51-51%'!E58</f>
        <v>1.5049643348508104E-2</v>
      </c>
      <c r="W25" s="162">
        <f>'Scenario 51-51%'!F58</f>
        <v>10.384255852715953</v>
      </c>
      <c r="X25" s="162">
        <f>'Scenario 51-51%'!G58</f>
        <v>3.9881554873546476</v>
      </c>
      <c r="Y25" s="162">
        <f>'Scenario 51-51%'!H58</f>
        <v>39.67650149941278</v>
      </c>
      <c r="Z25" s="162"/>
      <c r="AA25" s="162"/>
      <c r="AC25" s="177">
        <f t="shared" si="141"/>
        <v>2028</v>
      </c>
      <c r="AD25" s="173">
        <f>'Scenario 61-33%'!C58</f>
        <v>21.805614766046951</v>
      </c>
      <c r="AE25" s="173">
        <f>'Scenario 61-33%'!D58</f>
        <v>0.45564656314473551</v>
      </c>
      <c r="AF25" s="178">
        <f>'Scenario 61-33%'!E58</f>
        <v>1.8457522219700179E-2</v>
      </c>
      <c r="AG25" s="173">
        <f>'Scenario 61-33%'!F58</f>
        <v>12.758103768052594</v>
      </c>
      <c r="AH25" s="173">
        <f>'Scenario 61-33%'!G58</f>
        <v>4.8912433882205475</v>
      </c>
      <c r="AI25" s="173">
        <f>'Scenario 61-33%'!H58</f>
        <v>39.454961922320095</v>
      </c>
      <c r="AJ25" s="173"/>
      <c r="AK25" s="173"/>
      <c r="AM25" s="182">
        <f t="shared" si="142"/>
        <v>2028</v>
      </c>
      <c r="AN25" s="179">
        <f>'Scenario 65-25%'!C58</f>
        <v>20.337891552572088</v>
      </c>
      <c r="AO25" s="179">
        <f>'Scenario 65-25%'!D58</f>
        <v>0.48861667307996687</v>
      </c>
      <c r="AP25" s="179">
        <f>'Scenario 65-25%'!E58</f>
        <v>1.9782808447385985E-2</v>
      </c>
      <c r="AQ25" s="179">
        <f>'Scenario 65-25%'!F58</f>
        <v>13.681266846239073</v>
      </c>
      <c r="AR25" s="179">
        <f>'Scenario 65-25%'!G58</f>
        <v>5.2424442385572858</v>
      </c>
      <c r="AS25" s="179">
        <f>'Scenario 65-25%'!H58</f>
        <v>39.261602637368448</v>
      </c>
      <c r="AT25" s="179"/>
      <c r="AU25" s="179"/>
      <c r="AW25" s="187">
        <f t="shared" si="143"/>
        <v>2028</v>
      </c>
      <c r="AX25" s="184">
        <f>'Scenario 69-19%'!C58</f>
        <v>19.913143735082436</v>
      </c>
      <c r="AY25" s="184">
        <f>'Scenario 69-19%'!D58</f>
        <v>0.5239417908677142</v>
      </c>
      <c r="AZ25" s="184">
        <f>'Scenario 69-19%'!E58</f>
        <v>2.1202757977049336E-2</v>
      </c>
      <c r="BA25" s="184">
        <f>'Scenario 69-19%'!F58</f>
        <v>14.670370144295998</v>
      </c>
      <c r="BB25" s="184">
        <f>'Scenario 69-19%'!G58</f>
        <v>5.6187308639180742</v>
      </c>
      <c r="BC25" s="184">
        <f>'Scenario 69-19%'!H58</f>
        <v>40.202244743296504</v>
      </c>
      <c r="BD25" s="184"/>
      <c r="BE25" s="184"/>
      <c r="BG25" s="86"/>
      <c r="BH25" s="2"/>
      <c r="BI25" s="2"/>
      <c r="BJ25" s="2"/>
      <c r="BK25" s="2"/>
      <c r="BL25" s="2"/>
      <c r="BM25" s="2"/>
      <c r="BN25" s="2"/>
      <c r="BO25" s="2"/>
      <c r="BQ25" s="192">
        <f t="shared" si="145"/>
        <v>2028</v>
      </c>
      <c r="BR25" s="190">
        <f>WAM!C58</f>
        <v>36.583778559859176</v>
      </c>
      <c r="BS25" s="190">
        <f>WAM!D58</f>
        <v>0.52961966802894</v>
      </c>
      <c r="BT25" s="190">
        <f>WAM!E58</f>
        <v>1.9840267160055495E-2</v>
      </c>
      <c r="BU25" s="190">
        <f>WAM!F58</f>
        <v>14.82935070481032</v>
      </c>
      <c r="BV25" s="190">
        <f>WAM!G58</f>
        <v>5.2576707974147059</v>
      </c>
      <c r="BW25" s="190">
        <f>WAM!H58</f>
        <v>56.670800062084204</v>
      </c>
      <c r="BX25" s="190"/>
      <c r="BY25" s="190"/>
      <c r="CL25" s="2"/>
      <c r="CM25" s="2"/>
      <c r="CN25" s="2"/>
      <c r="CO25" s="2"/>
      <c r="CP25" s="2"/>
      <c r="CQ25" s="2"/>
      <c r="CR25" s="134"/>
      <c r="CS25" s="134"/>
      <c r="CT25" s="134"/>
      <c r="CU25" s="135"/>
      <c r="CV25" s="135"/>
      <c r="CW25" s="135"/>
      <c r="CX25" s="135"/>
      <c r="CY25" s="135"/>
      <c r="CZ25" s="135"/>
      <c r="DA25" s="134"/>
      <c r="DB25" s="134"/>
      <c r="DL25" s="2">
        <f t="shared" si="75"/>
        <v>2034</v>
      </c>
      <c r="DM25">
        <f t="shared" si="76"/>
        <v>1.2567380324375299E-2</v>
      </c>
      <c r="DN25" s="2">
        <f t="shared" si="77"/>
        <v>1.5244999437454785E-2</v>
      </c>
      <c r="DO25">
        <f t="shared" si="78"/>
        <v>1.6948938873050819E-2</v>
      </c>
      <c r="DP25">
        <f t="shared" si="79"/>
        <v>1.8652878308646856E-2</v>
      </c>
      <c r="DQ25">
        <f t="shared" si="80"/>
        <v>2.0478527703928308E-2</v>
      </c>
      <c r="DR25" s="2">
        <f t="shared" si="81"/>
        <v>1.9089487734951706E-2</v>
      </c>
      <c r="DS25" s="86">
        <f t="shared" si="82"/>
        <v>2034</v>
      </c>
      <c r="DT25" s="2">
        <f t="shared" si="83"/>
        <v>-0.66607115719189092</v>
      </c>
      <c r="DU25" s="2">
        <f t="shared" si="84"/>
        <v>-0.80798497018510351</v>
      </c>
      <c r="DV25" s="2">
        <f t="shared" si="85"/>
        <v>-0.89829376027169339</v>
      </c>
      <c r="DW25" s="2">
        <f t="shared" si="86"/>
        <v>-0.98860255035828337</v>
      </c>
      <c r="DX25" s="2">
        <f t="shared" si="87"/>
        <v>-1.0853619683082003</v>
      </c>
      <c r="DY25">
        <f t="shared" si="88"/>
        <v>-1.0156446919028446</v>
      </c>
      <c r="DZ25">
        <f t="shared" si="66"/>
        <v>2034</v>
      </c>
      <c r="EA25" s="2">
        <f t="shared" si="102"/>
        <v>-1.6651778929797274</v>
      </c>
      <c r="EB25" s="2">
        <f t="shared" si="89"/>
        <v>-2.0199624254627588</v>
      </c>
      <c r="EC25" s="2">
        <f t="shared" si="90"/>
        <v>-2.2457344006792335</v>
      </c>
      <c r="ED25" s="2">
        <f t="shared" si="91"/>
        <v>-2.4715063758957081</v>
      </c>
      <c r="EE25" s="2">
        <f t="shared" si="92"/>
        <v>-2.7134049207705004</v>
      </c>
      <c r="EF25" s="2">
        <f t="shared" si="92"/>
        <v>-2.5391117297571117</v>
      </c>
      <c r="EG25">
        <f t="shared" si="67"/>
        <v>2034</v>
      </c>
      <c r="EH25" s="1">
        <f t="shared" si="93"/>
        <v>-7.4933005184087728E-4</v>
      </c>
      <c r="EI25" s="1">
        <f t="shared" si="94"/>
        <v>-9.0898309145824141E-4</v>
      </c>
      <c r="EJ25" s="1">
        <f t="shared" si="95"/>
        <v>-1.0105804803056551E-3</v>
      </c>
      <c r="EK25" s="1">
        <f t="shared" si="103"/>
        <v>-1.1121778691530685E-3</v>
      </c>
      <c r="EL25" s="1">
        <f t="shared" si="103"/>
        <v>-1.2210322143467252E-3</v>
      </c>
      <c r="EP25">
        <f t="shared" si="146"/>
        <v>2028</v>
      </c>
      <c r="EQ25" s="131">
        <f t="shared" si="147"/>
        <v>39.67650149941278</v>
      </c>
      <c r="ER25" s="131">
        <f t="shared" si="148"/>
        <v>39.607438182220619</v>
      </c>
      <c r="ES25" s="131">
        <f t="shared" si="149"/>
        <v>39.454961922320095</v>
      </c>
      <c r="ET25" s="131">
        <f t="shared" si="150"/>
        <v>39.261602637368448</v>
      </c>
      <c r="EU25" s="131">
        <f t="shared" si="151"/>
        <v>56.670800062084204</v>
      </c>
      <c r="EV25" s="2">
        <f t="shared" si="152"/>
        <v>39.500126060330487</v>
      </c>
      <c r="EW25" s="3">
        <f t="shared" si="153"/>
        <v>0.17070139795803663</v>
      </c>
      <c r="EX25" s="3">
        <f t="shared" si="153"/>
        <v>0.42176083292593292</v>
      </c>
    </row>
    <row r="26" spans="1:156" x14ac:dyDescent="0.35">
      <c r="A26">
        <f t="shared" si="133"/>
        <v>2029</v>
      </c>
      <c r="B26" s="162">
        <f t="shared" si="134"/>
        <v>36.252403008933356</v>
      </c>
      <c r="C26" s="79">
        <f t="shared" si="135"/>
        <v>36.275928499721886</v>
      </c>
      <c r="D26" s="173">
        <f t="shared" si="136"/>
        <v>36.198572824226929</v>
      </c>
      <c r="E26" s="179">
        <f t="shared" si="137"/>
        <v>36.097855420131367</v>
      </c>
      <c r="F26" s="184">
        <f t="shared" si="138"/>
        <v>36.631233404598404</v>
      </c>
      <c r="G26" s="2">
        <f t="shared" si="139"/>
        <v>36.291198631522391</v>
      </c>
      <c r="H26" s="2">
        <f>M16-M27</f>
        <v>6.5821759445981556</v>
      </c>
      <c r="I26" s="158">
        <f>'Scenario 57-40%'!B59</f>
        <v>2029</v>
      </c>
      <c r="J26" s="79">
        <f>'Scenario 57-40%'!C59</f>
        <v>20.902778020767197</v>
      </c>
      <c r="K26" s="79">
        <f>'Scenario 57-40%'!D59</f>
        <v>0.39648069927975194</v>
      </c>
      <c r="L26" s="79">
        <f>'Scenario 57-40%'!E59</f>
        <v>1.6119588298572199E-2</v>
      </c>
      <c r="M26" s="79">
        <f>'Scenario 57-40%'!F59</f>
        <v>11.101459579833055</v>
      </c>
      <c r="N26" s="79">
        <f>'Scenario 57-40%'!G59</f>
        <v>4.2716908991216327</v>
      </c>
      <c r="O26" s="79">
        <f>'Scenario 57-40%'!H59</f>
        <v>36.275928499721886</v>
      </c>
      <c r="P26" s="79"/>
      <c r="Q26" s="79"/>
      <c r="S26" s="157">
        <f t="shared" si="140"/>
        <v>2029</v>
      </c>
      <c r="T26" s="162">
        <f>'Scenario 51-51%'!C59</f>
        <v>23.167906115897903</v>
      </c>
      <c r="U26" s="162">
        <f>'Scenario 51-51%'!D59</f>
        <v>0.33726907327362254</v>
      </c>
      <c r="V26" s="162">
        <f>'Scenario 51-51%'!E59</f>
        <v>1.3739482420279323E-2</v>
      </c>
      <c r="W26" s="162">
        <f>'Scenario 51-51%'!F59</f>
        <v>9.4435340516614303</v>
      </c>
      <c r="X26" s="162">
        <f>'Scenario 51-51%'!G59</f>
        <v>3.6409628413740203</v>
      </c>
      <c r="Y26" s="162">
        <f>'Scenario 51-51%'!H59</f>
        <v>36.252403008933356</v>
      </c>
      <c r="Z26" s="162"/>
      <c r="AA26" s="162"/>
      <c r="AC26" s="177">
        <f t="shared" si="141"/>
        <v>2029</v>
      </c>
      <c r="AD26" s="173">
        <f>'Scenario 61-33%'!C59</f>
        <v>19.369006426960006</v>
      </c>
      <c r="AE26" s="173">
        <f>'Scenario 61-33%'!D59</f>
        <v>0.43416082492001606</v>
      </c>
      <c r="AF26" s="178">
        <f>'Scenario 61-33%'!E59</f>
        <v>1.763420113021312E-2</v>
      </c>
      <c r="AG26" s="173">
        <f>'Scenario 61-33%'!F59</f>
        <v>12.156503097760449</v>
      </c>
      <c r="AH26" s="173">
        <f>'Scenario 61-33%'!G59</f>
        <v>4.6730632995064765</v>
      </c>
      <c r="AI26" s="173">
        <f>'Scenario 61-33%'!H59</f>
        <v>36.198572824226929</v>
      </c>
      <c r="AJ26" s="173"/>
      <c r="AK26" s="173"/>
      <c r="AM26" s="182">
        <f t="shared" si="142"/>
        <v>2029</v>
      </c>
      <c r="AN26" s="179">
        <f>'Scenario 65-25%'!C59</f>
        <v>17.811873104552195</v>
      </c>
      <c r="AO26" s="179">
        <f>'Scenario 65-25%'!D59</f>
        <v>0.47184095056028047</v>
      </c>
      <c r="AP26" s="179">
        <f>'Scenario 65-25%'!E59</f>
        <v>1.9148813961854041E-2</v>
      </c>
      <c r="AQ26" s="179">
        <f>'Scenario 65-25%'!F59</f>
        <v>13.211546615687853</v>
      </c>
      <c r="AR26" s="179">
        <f>'Scenario 65-25%'!G59</f>
        <v>5.0744356998913211</v>
      </c>
      <c r="AS26" s="179">
        <f>'Scenario 65-25%'!H59</f>
        <v>36.097855420131367</v>
      </c>
      <c r="AT26" s="179"/>
      <c r="AU26" s="179"/>
      <c r="AW26" s="187">
        <f t="shared" si="143"/>
        <v>2029</v>
      </c>
      <c r="AX26" s="184">
        <f>'Scenario 69-19%'!C59</f>
        <v>16.784805462256124</v>
      </c>
      <c r="AY26" s="184">
        <f>'Scenario 69-19%'!D59</f>
        <v>0.51221251374627752</v>
      </c>
      <c r="AZ26" s="184">
        <f>'Scenario 69-19%'!E59</f>
        <v>2.0771613424326443E-2</v>
      </c>
      <c r="BA26" s="184">
        <f>'Scenario 69-19%'!F59</f>
        <v>14.341950384895771</v>
      </c>
      <c r="BB26" s="184">
        <f>'Scenario 69-19%'!G59</f>
        <v>5.5044775574465072</v>
      </c>
      <c r="BC26" s="184">
        <f>'Scenario 69-19%'!H59</f>
        <v>36.631233404598404</v>
      </c>
      <c r="BD26" s="184"/>
      <c r="BE26" s="184"/>
      <c r="BG26" s="86"/>
      <c r="BH26" s="2"/>
      <c r="BI26" s="2"/>
      <c r="BJ26" s="2"/>
      <c r="BK26" s="2"/>
      <c r="BL26" s="2"/>
      <c r="BM26" s="2"/>
      <c r="BN26" s="2"/>
      <c r="BO26" s="2"/>
      <c r="BQ26" s="192">
        <f t="shared" si="145"/>
        <v>2029</v>
      </c>
      <c r="BR26" s="190">
        <f>WAM!C59</f>
        <v>36.158157819520802</v>
      </c>
      <c r="BS26" s="190">
        <f>WAM!D59</f>
        <v>0.51835836578488603</v>
      </c>
      <c r="BT26" s="190">
        <f>WAM!E59</f>
        <v>1.9429517461533281E-2</v>
      </c>
      <c r="BU26" s="190">
        <f>WAM!F59</f>
        <v>14.514034241976809</v>
      </c>
      <c r="BV26" s="190">
        <f>WAM!G59</f>
        <v>5.1488221273063193</v>
      </c>
      <c r="BW26" s="190">
        <f>WAM!H59</f>
        <v>55.821014188803929</v>
      </c>
      <c r="BX26" s="190"/>
      <c r="BY26" s="190"/>
      <c r="CC26" s="2"/>
      <c r="CD26" s="2"/>
      <c r="CE26" s="2"/>
      <c r="CF26" s="2"/>
      <c r="CG26" s="2"/>
      <c r="CH26" s="2"/>
      <c r="CL26" s="2"/>
      <c r="CM26" s="2"/>
      <c r="CN26" s="2"/>
      <c r="CO26" s="2"/>
      <c r="CP26" s="2"/>
      <c r="CQ26" s="2"/>
      <c r="CR26" s="134"/>
      <c r="CS26" s="134"/>
      <c r="CT26" s="134"/>
      <c r="CU26" s="135"/>
      <c r="CV26" s="135"/>
      <c r="CW26" s="135"/>
      <c r="CX26" s="135"/>
      <c r="CY26" s="135"/>
      <c r="CZ26" s="135"/>
      <c r="DA26" s="134"/>
      <c r="DB26" s="134"/>
      <c r="DL26" s="2">
        <f t="shared" si="75"/>
        <v>2035</v>
      </c>
      <c r="DM26">
        <f t="shared" si="76"/>
        <v>1.2567380324375299E-2</v>
      </c>
      <c r="DN26" s="2">
        <f t="shared" si="77"/>
        <v>1.5244999437454785E-2</v>
      </c>
      <c r="DO26">
        <f t="shared" si="78"/>
        <v>1.6948938873050819E-2</v>
      </c>
      <c r="DP26">
        <f t="shared" si="79"/>
        <v>1.8652878308646856E-2</v>
      </c>
      <c r="DQ26">
        <f t="shared" si="80"/>
        <v>2.0478527703928308E-2</v>
      </c>
      <c r="DR26" s="2">
        <f t="shared" si="81"/>
        <v>1.913849913108135E-2</v>
      </c>
      <c r="DS26" s="86">
        <f t="shared" si="82"/>
        <v>2035</v>
      </c>
      <c r="DT26" s="2">
        <f t="shared" si="83"/>
        <v>-0.8325889464898637</v>
      </c>
      <c r="DU26" s="2">
        <f t="shared" si="84"/>
        <v>-1.0099812127313794</v>
      </c>
      <c r="DV26" s="2">
        <f t="shared" si="85"/>
        <v>-1.1228672003396167</v>
      </c>
      <c r="DW26" s="2">
        <f t="shared" si="86"/>
        <v>-1.2357531879478543</v>
      </c>
      <c r="DX26" s="2">
        <f t="shared" si="87"/>
        <v>-1.3567024603852504</v>
      </c>
      <c r="DY26">
        <f t="shared" si="88"/>
        <v>-1.2695558648785557</v>
      </c>
      <c r="DZ26">
        <f t="shared" si="66"/>
        <v>2035</v>
      </c>
      <c r="EA26" s="2">
        <f t="shared" si="102"/>
        <v>-2.4977668394695911</v>
      </c>
      <c r="EB26" s="2">
        <f t="shared" si="89"/>
        <v>-3.0299436381941383</v>
      </c>
      <c r="EC26" s="2">
        <f t="shared" si="90"/>
        <v>-3.3686016010188502</v>
      </c>
      <c r="ED26" s="2">
        <f t="shared" si="91"/>
        <v>-3.7072595638435626</v>
      </c>
      <c r="EE26" s="2">
        <f t="shared" si="92"/>
        <v>-4.0701073811557507</v>
      </c>
      <c r="EF26" s="2">
        <f t="shared" si="92"/>
        <v>-3.8086675946356676</v>
      </c>
      <c r="EG26">
        <f t="shared" si="67"/>
        <v>2035</v>
      </c>
      <c r="EH26" s="1">
        <f t="shared" si="93"/>
        <v>-1.1239950777613159E-3</v>
      </c>
      <c r="EI26" s="1">
        <f t="shared" si="94"/>
        <v>-1.3634746371873623E-3</v>
      </c>
      <c r="EJ26" s="1">
        <f t="shared" si="95"/>
        <v>-1.5158707204584825E-3</v>
      </c>
      <c r="EK26" s="1">
        <f t="shared" si="103"/>
        <v>-1.6682668037296031E-3</v>
      </c>
      <c r="EL26" s="1">
        <f t="shared" si="103"/>
        <v>-1.8315483215200878E-3</v>
      </c>
      <c r="EP26">
        <f t="shared" si="146"/>
        <v>2029</v>
      </c>
      <c r="EQ26" s="131">
        <f t="shared" si="147"/>
        <v>36.252403008933356</v>
      </c>
      <c r="ER26" s="131">
        <f t="shared" si="148"/>
        <v>36.275928499721886</v>
      </c>
      <c r="ES26" s="131">
        <f t="shared" si="149"/>
        <v>36.198572824226929</v>
      </c>
      <c r="ET26" s="131">
        <f t="shared" si="150"/>
        <v>36.097855420131367</v>
      </c>
      <c r="EU26" s="131">
        <f t="shared" si="151"/>
        <v>55.821014188803929</v>
      </c>
      <c r="EV26" s="2">
        <f t="shared" si="152"/>
        <v>36.206189938253388</v>
      </c>
      <c r="EW26" s="3">
        <f t="shared" si="153"/>
        <v>0.18313683624326105</v>
      </c>
      <c r="EX26" s="3">
        <f t="shared" si="153"/>
        <v>0.46998049877499704</v>
      </c>
    </row>
    <row r="27" spans="1:156" x14ac:dyDescent="0.35">
      <c r="A27">
        <f t="shared" si="133"/>
        <v>2030</v>
      </c>
      <c r="B27" s="162">
        <f t="shared" si="134"/>
        <v>33.485658465267157</v>
      </c>
      <c r="C27" s="79">
        <f t="shared" si="135"/>
        <v>33.652389842670985</v>
      </c>
      <c r="D27" s="173">
        <f t="shared" si="136"/>
        <v>33.686170749840926</v>
      </c>
      <c r="E27" s="179">
        <f t="shared" si="137"/>
        <v>33.71897825165253</v>
      </c>
      <c r="F27" s="184">
        <f t="shared" si="138"/>
        <v>33.150282942786319</v>
      </c>
      <c r="G27" s="2">
        <f t="shared" si="139"/>
        <v>33.538696050443583</v>
      </c>
      <c r="H27" s="2">
        <f>N16-N27</f>
        <v>2.4020603389186856</v>
      </c>
      <c r="I27" s="158">
        <f>'Scenario 57-40%'!B60</f>
        <v>2030</v>
      </c>
      <c r="J27" s="79">
        <f>'Scenario 57-40%'!C60</f>
        <v>19.191011235625513</v>
      </c>
      <c r="K27" s="79">
        <f>'Scenario 57-40%'!D60</f>
        <v>0.37219477700428399</v>
      </c>
      <c r="L27" s="79">
        <f>'Scenario 57-40%'!E60</f>
        <v>1.5244999437454785E-2</v>
      </c>
      <c r="M27" s="79">
        <f>'Scenario 57-40%'!F60</f>
        <v>10.421453756119952</v>
      </c>
      <c r="N27" s="79">
        <f>'Scenario 57-40%'!G60</f>
        <v>4.0399248509255177</v>
      </c>
      <c r="O27" s="79">
        <f>'Scenario 57-40%'!H60</f>
        <v>33.652389842670985</v>
      </c>
      <c r="P27" s="170">
        <f>1-J27/J15</f>
        <v>0.5643665817431438</v>
      </c>
      <c r="Q27" s="170">
        <f>1-K27/K15</f>
        <v>0.40317536251009112</v>
      </c>
      <c r="S27" s="157">
        <f t="shared" si="140"/>
        <v>2030</v>
      </c>
      <c r="T27" s="162">
        <f>'Scenario 51-51%'!C60</f>
        <v>21.599015142380825</v>
      </c>
      <c r="U27" s="162">
        <f>'Scenario 51-51%'!D60</f>
        <v>0.30558169774738841</v>
      </c>
      <c r="V27" s="162">
        <f>'Scenario 51-51%'!E60</f>
        <v>1.2567380324375299E-2</v>
      </c>
      <c r="W27" s="162">
        <f>'Scenario 51-51%'!F60</f>
        <v>8.5562875369268756</v>
      </c>
      <c r="X27" s="162">
        <f>'Scenario 51-51%'!G60</f>
        <v>3.3303557859594544</v>
      </c>
      <c r="Y27" s="162">
        <f>'Scenario 51-51%'!H60</f>
        <v>33.485658465267157</v>
      </c>
      <c r="Z27" s="165">
        <f>1-T27/T15</f>
        <v>0.50970521136531088</v>
      </c>
      <c r="AA27" s="165">
        <f>1-U27/U15</f>
        <v>0.50999128077625655</v>
      </c>
      <c r="AC27" s="177">
        <f t="shared" si="141"/>
        <v>2030</v>
      </c>
      <c r="AD27" s="173">
        <f>'Scenario 61-33%'!C60</f>
        <v>17.586324234694192</v>
      </c>
      <c r="AE27" s="173">
        <f>'Scenario 61-33%'!D60</f>
        <v>0.41458491834958111</v>
      </c>
      <c r="AF27" s="178">
        <f>'Scenario 61-33%'!E60</f>
        <v>1.6948938873050819E-2</v>
      </c>
      <c r="AG27" s="173">
        <f>'Scenario 61-33%'!F60</f>
        <v>11.608377713788272</v>
      </c>
      <c r="AH27" s="173">
        <f>'Scenario 61-33%'!G60</f>
        <v>4.4914688013584669</v>
      </c>
      <c r="AI27" s="173">
        <f>'Scenario 61-33%'!H60</f>
        <v>33.686170749840926</v>
      </c>
      <c r="AJ27" s="176">
        <f>1-AD27/AD15</f>
        <v>0.60079276454639041</v>
      </c>
      <c r="AK27" s="176">
        <f>1-AE27/AE15</f>
        <v>0.33520159634071323</v>
      </c>
      <c r="AM27" s="182">
        <f t="shared" si="142"/>
        <v>2030</v>
      </c>
      <c r="AN27" s="179">
        <f>'Scenario 65-25%'!C60</f>
        <v>15.980663828404511</v>
      </c>
      <c r="AO27" s="179">
        <f>'Scenario 65-25%'!D60</f>
        <v>0.45697505969487856</v>
      </c>
      <c r="AP27" s="179">
        <f>'Scenario 65-25%'!E60</f>
        <v>1.8652878308646856E-2</v>
      </c>
      <c r="AQ27" s="179">
        <f>'Scenario 65-25%'!F60</f>
        <v>12.795301671456599</v>
      </c>
      <c r="AR27" s="179">
        <f>'Scenario 65-25%'!G60</f>
        <v>4.9430127517914171</v>
      </c>
      <c r="AS27" s="179">
        <f>'Scenario 65-25%'!H60</f>
        <v>33.71897825165253</v>
      </c>
      <c r="AT27" s="183">
        <f>1-AN27/AN15</f>
        <v>0.6372410435226008</v>
      </c>
      <c r="AU27" s="183">
        <f>1-AO27/AO15</f>
        <v>0.26722783017133478</v>
      </c>
      <c r="AW27" s="187">
        <f t="shared" si="143"/>
        <v>2030</v>
      </c>
      <c r="AX27" s="184">
        <f>'Scenario 69-19%'!C60</f>
        <v>13.656467189429812</v>
      </c>
      <c r="AY27" s="184">
        <f>'Scenario 69-19%'!D60</f>
        <v>0.50239306827912533</v>
      </c>
      <c r="AZ27" s="184">
        <f>'Scenario 69-19%'!E60</f>
        <v>2.0478527703928308E-2</v>
      </c>
      <c r="BA27" s="184">
        <f>'Scenario 69-19%'!F60</f>
        <v>14.06700591181551</v>
      </c>
      <c r="BB27" s="184">
        <f>'Scenario 69-19%'!G60</f>
        <v>5.4268098415410018</v>
      </c>
      <c r="BC27" s="184">
        <f>'Scenario 69-19%'!H60</f>
        <v>33.150282942786319</v>
      </c>
      <c r="BD27" s="188">
        <f>1-AX27/AX15</f>
        <v>0.69</v>
      </c>
      <c r="BE27" s="188">
        <f>1-AY27/AY15</f>
        <v>0.19439879498985868</v>
      </c>
      <c r="BG27" s="86"/>
      <c r="BH27" s="2"/>
      <c r="BI27" s="2"/>
      <c r="BJ27" s="2"/>
      <c r="BK27" s="2"/>
      <c r="BL27" s="2"/>
      <c r="BM27" s="2"/>
      <c r="BN27" s="2"/>
      <c r="BO27" s="2"/>
      <c r="BQ27" s="192">
        <f t="shared" si="145"/>
        <v>2030</v>
      </c>
      <c r="BR27" s="190">
        <f>WAM!C60</f>
        <v>36.407173574748441</v>
      </c>
      <c r="BS27" s="190">
        <f>WAM!D60</f>
        <v>0.50714823688842259</v>
      </c>
      <c r="BT27" s="190">
        <f>WAM!E60</f>
        <v>1.9050040558681376E-2</v>
      </c>
      <c r="BU27" s="190">
        <f>WAM!F60</f>
        <v>14.200150632875832</v>
      </c>
      <c r="BV27" s="190">
        <f>WAM!G60</f>
        <v>5.0482607480505646</v>
      </c>
      <c r="BW27" s="190">
        <f>WAM!H60</f>
        <v>55.65558495567484</v>
      </c>
      <c r="BX27" s="190"/>
      <c r="BY27" s="190"/>
      <c r="CC27" s="2"/>
      <c r="CD27" s="2"/>
      <c r="CE27" s="2"/>
      <c r="CF27" s="2"/>
      <c r="CG27" s="2"/>
      <c r="CH27" s="2"/>
      <c r="CL27" s="2"/>
      <c r="CM27" s="2"/>
      <c r="CN27" s="2"/>
      <c r="CO27" s="2"/>
      <c r="CP27" s="2"/>
      <c r="CQ27" s="2"/>
      <c r="CR27" s="134"/>
      <c r="CS27" s="134"/>
      <c r="CT27" s="134"/>
      <c r="CU27" s="135"/>
      <c r="CV27" s="135"/>
      <c r="CW27" s="135"/>
      <c r="CX27" s="135"/>
      <c r="CY27" s="135"/>
      <c r="CZ27" s="135"/>
      <c r="DA27" s="134"/>
      <c r="DB27" s="134"/>
      <c r="DL27" s="2">
        <f t="shared" si="75"/>
        <v>2036</v>
      </c>
      <c r="DM27">
        <f t="shared" si="76"/>
        <v>1.2567380324375299E-2</v>
      </c>
      <c r="DN27" s="2">
        <f t="shared" si="77"/>
        <v>1.5244999437454785E-2</v>
      </c>
      <c r="DO27">
        <f t="shared" si="78"/>
        <v>1.6948938873050819E-2</v>
      </c>
      <c r="DP27">
        <f t="shared" si="79"/>
        <v>1.8652878308646856E-2</v>
      </c>
      <c r="DQ27">
        <f t="shared" si="80"/>
        <v>2.0478527703928308E-2</v>
      </c>
      <c r="DR27" s="2">
        <f t="shared" si="81"/>
        <v>1.9124297380356606E-2</v>
      </c>
      <c r="DS27" s="86">
        <f t="shared" si="82"/>
        <v>2036</v>
      </c>
      <c r="DT27" s="2">
        <f t="shared" si="83"/>
        <v>-0.99910673578783649</v>
      </c>
      <c r="DU27" s="2">
        <f t="shared" si="84"/>
        <v>-1.2119774552776552</v>
      </c>
      <c r="DV27" s="2">
        <f t="shared" si="85"/>
        <v>-1.3474406404075401</v>
      </c>
      <c r="DW27" s="2">
        <f t="shared" si="86"/>
        <v>-1.4829038255374252</v>
      </c>
      <c r="DX27" s="2">
        <f t="shared" si="87"/>
        <v>-1.6280429524623006</v>
      </c>
      <c r="DY27">
        <f t="shared" si="88"/>
        <v>-1.5234670378542667</v>
      </c>
      <c r="DZ27">
        <f t="shared" si="66"/>
        <v>2036</v>
      </c>
      <c r="EA27" s="2">
        <f t="shared" si="102"/>
        <v>-3.4968735752574274</v>
      </c>
      <c r="EB27" s="2">
        <f t="shared" si="89"/>
        <v>-4.2419210934717935</v>
      </c>
      <c r="EC27" s="2">
        <f t="shared" si="90"/>
        <v>-4.7160422414263898</v>
      </c>
      <c r="ED27" s="2">
        <f t="shared" si="91"/>
        <v>-5.190163389380988</v>
      </c>
      <c r="EE27" s="2">
        <f t="shared" si="92"/>
        <v>-5.6981503336180515</v>
      </c>
      <c r="EF27" s="2">
        <f t="shared" si="92"/>
        <v>-5.3321346324899341</v>
      </c>
      <c r="EG27">
        <f t="shared" si="67"/>
        <v>2036</v>
      </c>
      <c r="EH27" s="1">
        <f t="shared" si="93"/>
        <v>-1.5735931088658422E-3</v>
      </c>
      <c r="EI27" s="1">
        <f t="shared" si="94"/>
        <v>-1.908864492062307E-3</v>
      </c>
      <c r="EJ27" s="1">
        <f t="shared" si="95"/>
        <v>-2.1222190086418753E-3</v>
      </c>
      <c r="EK27" s="1">
        <f t="shared" si="103"/>
        <v>-2.3355735252214445E-3</v>
      </c>
      <c r="EL27" s="1">
        <f t="shared" si="103"/>
        <v>-2.5641676501281232E-3</v>
      </c>
      <c r="EP27">
        <f t="shared" si="146"/>
        <v>2030</v>
      </c>
      <c r="EQ27" s="131">
        <f t="shared" si="147"/>
        <v>33.485658465267157</v>
      </c>
      <c r="ER27" s="131">
        <f t="shared" si="148"/>
        <v>33.652389842670985</v>
      </c>
      <c r="ES27" s="131">
        <f t="shared" si="149"/>
        <v>33.686170749840926</v>
      </c>
      <c r="ET27" s="131">
        <f t="shared" si="150"/>
        <v>33.71897825165253</v>
      </c>
      <c r="EU27" s="131">
        <f t="shared" si="151"/>
        <v>55.65558495567484</v>
      </c>
      <c r="EV27" s="2">
        <f t="shared" si="152"/>
        <v>33.635799327357901</v>
      </c>
      <c r="EW27" s="3">
        <f t="shared" si="153"/>
        <v>0.18555766375267568</v>
      </c>
      <c r="EX27" s="3">
        <f t="shared" si="153"/>
        <v>0.50760824010496419</v>
      </c>
      <c r="EY27" s="3">
        <f>EW27</f>
        <v>0.18555766375267568</v>
      </c>
      <c r="EZ27" s="3">
        <f>EX27</f>
        <v>0.50760824010496419</v>
      </c>
    </row>
    <row r="28" spans="1:156" x14ac:dyDescent="0.35">
      <c r="A28">
        <f t="shared" si="133"/>
        <v>2031</v>
      </c>
      <c r="B28" s="162">
        <f t="shared" si="134"/>
        <v>32.239189918850144</v>
      </c>
      <c r="C28" s="79">
        <f t="shared" si="135"/>
        <v>32.490843038343421</v>
      </c>
      <c r="D28" s="173">
        <f t="shared" si="136"/>
        <v>32.582281098038308</v>
      </c>
      <c r="E28" s="179">
        <f t="shared" si="137"/>
        <v>32.672794422642738</v>
      </c>
      <c r="F28" s="184">
        <f t="shared" si="138"/>
        <v>32.196119091237783</v>
      </c>
      <c r="G28" s="2">
        <f t="shared" si="139"/>
        <v>32.436245513822485</v>
      </c>
      <c r="I28" s="158">
        <f>'Scenario 57-40%'!B61</f>
        <v>2031</v>
      </c>
      <c r="J28" s="79">
        <f>'Scenario 57-40%'!C61</f>
        <v>18.231460673844232</v>
      </c>
      <c r="K28" s="79">
        <f>'Scenario 57-40%'!D61</f>
        <v>0.37219477700428399</v>
      </c>
      <c r="L28" s="79">
        <f>'Scenario 57-40%'!E61</f>
        <v>1.5244999437454785E-2</v>
      </c>
      <c r="M28" s="79">
        <f>'Scenario 57-40%'!F61</f>
        <v>10.421453756119952</v>
      </c>
      <c r="N28" s="79">
        <f>'Scenario 57-40%'!G61</f>
        <v>4.0399248509255177</v>
      </c>
      <c r="O28" s="79">
        <f>'Scenario 57-40%'!H61</f>
        <v>32.490843038343421</v>
      </c>
      <c r="P28" s="79"/>
      <c r="Q28" s="79"/>
      <c r="R28" s="79">
        <f>'Scenario 57-40%'!U61</f>
        <v>-0.20199624254627588</v>
      </c>
      <c r="S28" s="157">
        <f t="shared" si="140"/>
        <v>2031</v>
      </c>
      <c r="T28" s="162">
        <f>'Scenario 51-51%'!C61</f>
        <v>20.519064385261782</v>
      </c>
      <c r="U28" s="162">
        <f>'Scenario 51-51%'!D61</f>
        <v>0.30558169774738841</v>
      </c>
      <c r="V28" s="162">
        <f>'Scenario 51-51%'!E61</f>
        <v>1.2567380324375299E-2</v>
      </c>
      <c r="W28" s="162">
        <f>'Scenario 51-51%'!F61</f>
        <v>8.5562875369268756</v>
      </c>
      <c r="X28" s="162">
        <f>'Scenario 51-51%'!G61</f>
        <v>3.3303557859594544</v>
      </c>
      <c r="Y28" s="162">
        <f>'Scenario 51-51%'!H61</f>
        <v>32.239189918850144</v>
      </c>
      <c r="Z28" s="162"/>
      <c r="AA28" s="162"/>
      <c r="AB28" s="157">
        <f>'Scenario 51-51%'!U61</f>
        <v>-0.16651778929797273</v>
      </c>
      <c r="AC28" s="177">
        <f t="shared" si="141"/>
        <v>2031</v>
      </c>
      <c r="AD28" s="173">
        <f>'Scenario 61-33%'!C61</f>
        <v>16.707008022959492</v>
      </c>
      <c r="AE28" s="173">
        <f>'Scenario 61-33%'!D61</f>
        <v>0.41458491834958111</v>
      </c>
      <c r="AF28" s="178">
        <f>'Scenario 61-33%'!E61</f>
        <v>1.6948938873050819E-2</v>
      </c>
      <c r="AG28" s="173">
        <f>'Scenario 61-33%'!F61</f>
        <v>11.608377713788272</v>
      </c>
      <c r="AH28" s="173">
        <f>'Scenario 61-33%'!G61</f>
        <v>4.4914688013584669</v>
      </c>
      <c r="AI28" s="173">
        <f>'Scenario 61-33%'!H61</f>
        <v>32.582281098038308</v>
      </c>
      <c r="AJ28" s="173"/>
      <c r="AK28" s="173"/>
      <c r="AL28" s="159">
        <f>'Scenario 61-33%'!U61</f>
        <v>-0.22457344006792335</v>
      </c>
      <c r="AM28" s="182">
        <f t="shared" si="142"/>
        <v>2031</v>
      </c>
      <c r="AN28" s="179">
        <f>'Scenario 65-25%'!C61</f>
        <v>15.181630636984289</v>
      </c>
      <c r="AO28" s="179">
        <f>'Scenario 65-25%'!D61</f>
        <v>0.45697505969487856</v>
      </c>
      <c r="AP28" s="179">
        <f>'Scenario 65-25%'!E61</f>
        <v>1.8652878308646856E-2</v>
      </c>
      <c r="AQ28" s="179">
        <f>'Scenario 65-25%'!F61</f>
        <v>12.795301671456599</v>
      </c>
      <c r="AR28" s="179">
        <f>'Scenario 65-25%'!G61</f>
        <v>4.9430127517914171</v>
      </c>
      <c r="AS28" s="179">
        <f>'Scenario 65-25%'!H61</f>
        <v>32.672794422642738</v>
      </c>
      <c r="AT28" s="179"/>
      <c r="AU28" s="179"/>
      <c r="AV28" s="160">
        <f>'Scenario 65-25%'!U61</f>
        <v>-0.24715063758957084</v>
      </c>
      <c r="AW28" s="187">
        <f t="shared" si="143"/>
        <v>2031</v>
      </c>
      <c r="AX28" s="184">
        <f>'Scenario 69-19%'!C61</f>
        <v>12.973643829958322</v>
      </c>
      <c r="AY28" s="184">
        <f>'Scenario 69-19%'!D61</f>
        <v>0.50239306827912533</v>
      </c>
      <c r="AZ28" s="184">
        <f>'Scenario 69-19%'!E61</f>
        <v>2.0478527703928308E-2</v>
      </c>
      <c r="BA28" s="184">
        <f>'Scenario 69-19%'!F61</f>
        <v>14.06700591181551</v>
      </c>
      <c r="BB28" s="184">
        <f>'Scenario 69-19%'!G61</f>
        <v>5.4268098415410018</v>
      </c>
      <c r="BC28" s="184">
        <f>'Scenario 69-19%'!H61</f>
        <v>32.196119091237783</v>
      </c>
      <c r="BD28" s="184"/>
      <c r="BE28" s="184"/>
      <c r="BF28" s="161">
        <f>'Scenario 69-19%'!U61</f>
        <v>-0.27134049207705008</v>
      </c>
      <c r="BG28" s="86"/>
      <c r="BH28" s="2"/>
      <c r="BI28" s="2"/>
      <c r="BJ28" s="2"/>
      <c r="BK28" s="2"/>
      <c r="BL28" s="2"/>
      <c r="BM28" s="2"/>
      <c r="BN28" s="2"/>
      <c r="BO28" s="2"/>
      <c r="BQ28" s="192">
        <f t="shared" si="145"/>
        <v>2031</v>
      </c>
      <c r="BR28" s="190">
        <f>WAM!C61</f>
        <v>37.132582139754682</v>
      </c>
      <c r="BS28" s="190">
        <f>WAM!D61</f>
        <v>0.50844005447261675</v>
      </c>
      <c r="BT28" s="190">
        <f>WAM!E61</f>
        <v>1.9080954359167127E-2</v>
      </c>
      <c r="BU28" s="190">
        <f>WAM!F61</f>
        <v>14.236321525233269</v>
      </c>
      <c r="BV28" s="190">
        <f>WAM!G61</f>
        <v>5.056452905179289</v>
      </c>
      <c r="BW28" s="190">
        <f>WAM!H61</f>
        <v>56.171445397191526</v>
      </c>
      <c r="BX28" s="190"/>
      <c r="BY28" s="190"/>
      <c r="BZ28" s="189">
        <f>WAM!U61</f>
        <v>-0.25391117297571114</v>
      </c>
      <c r="CC28" s="2"/>
      <c r="CD28" s="2"/>
      <c r="CE28" s="2"/>
      <c r="CF28" s="2"/>
      <c r="CG28" s="2"/>
      <c r="CH28" s="2"/>
      <c r="CL28" s="2"/>
      <c r="CM28" s="2"/>
      <c r="CN28" s="2"/>
      <c r="CO28" s="2"/>
      <c r="CP28" s="2"/>
      <c r="CQ28" s="2"/>
      <c r="CR28" s="134"/>
      <c r="CS28" s="134"/>
      <c r="CT28" s="134"/>
      <c r="CU28" s="135"/>
      <c r="CV28" s="135"/>
      <c r="CW28" s="135"/>
      <c r="CX28" s="135"/>
      <c r="CY28" s="135"/>
      <c r="CZ28" s="135"/>
      <c r="DA28" s="134"/>
      <c r="DB28" s="134"/>
      <c r="DL28" s="2">
        <f t="shared" si="75"/>
        <v>2037</v>
      </c>
      <c r="DM28">
        <f t="shared" si="76"/>
        <v>1.2567380324375299E-2</v>
      </c>
      <c r="DN28" s="2">
        <f t="shared" si="77"/>
        <v>1.5244999437454785E-2</v>
      </c>
      <c r="DO28">
        <f t="shared" si="78"/>
        <v>1.6948938873050819E-2</v>
      </c>
      <c r="DP28">
        <f t="shared" si="79"/>
        <v>1.8652878308646856E-2</v>
      </c>
      <c r="DQ28">
        <f t="shared" si="80"/>
        <v>2.0478527703928308E-2</v>
      </c>
      <c r="DR28" s="2">
        <f t="shared" si="81"/>
        <v>1.9141829848980128E-2</v>
      </c>
      <c r="DS28" s="86">
        <f t="shared" si="82"/>
        <v>2037</v>
      </c>
      <c r="DT28" s="2">
        <f t="shared" si="83"/>
        <v>-1.1656245250858093</v>
      </c>
      <c r="DU28" s="2">
        <f t="shared" si="84"/>
        <v>-1.413973697823931</v>
      </c>
      <c r="DV28" s="2">
        <f t="shared" si="85"/>
        <v>-1.5720140804754634</v>
      </c>
      <c r="DW28" s="2">
        <f t="shared" si="86"/>
        <v>-1.7300544631269961</v>
      </c>
      <c r="DX28" s="2">
        <f t="shared" si="87"/>
        <v>-1.8993834445393507</v>
      </c>
      <c r="DY28">
        <f t="shared" si="88"/>
        <v>-1.7773782108299778</v>
      </c>
      <c r="DZ28">
        <f t="shared" si="66"/>
        <v>2037</v>
      </c>
      <c r="EA28" s="2">
        <f t="shared" si="102"/>
        <v>-4.6624981003432371</v>
      </c>
      <c r="EB28" s="2">
        <f t="shared" si="89"/>
        <v>-5.655894791295724</v>
      </c>
      <c r="EC28" s="2">
        <f t="shared" si="90"/>
        <v>-6.2880563219018537</v>
      </c>
      <c r="ED28" s="2">
        <f t="shared" si="91"/>
        <v>-6.9202178525079843</v>
      </c>
      <c r="EE28" s="2">
        <f t="shared" si="92"/>
        <v>-7.5975337781574019</v>
      </c>
      <c r="EF28" s="2">
        <f t="shared" si="92"/>
        <v>-7.1095128433199122</v>
      </c>
      <c r="EG28">
        <f t="shared" si="67"/>
        <v>2037</v>
      </c>
      <c r="EH28" s="1">
        <f t="shared" si="93"/>
        <v>-2.0981241451544564E-3</v>
      </c>
      <c r="EI28" s="1">
        <f t="shared" si="94"/>
        <v>-2.5451526560830756E-3</v>
      </c>
      <c r="EJ28" s="1">
        <f t="shared" si="95"/>
        <v>-2.8296253448558341E-3</v>
      </c>
      <c r="EK28" s="1">
        <f t="shared" si="103"/>
        <v>-3.114098033628593E-3</v>
      </c>
      <c r="EL28" s="1">
        <f t="shared" si="103"/>
        <v>-3.4188902001708308E-3</v>
      </c>
      <c r="EP28">
        <f t="shared" si="146"/>
        <v>2031</v>
      </c>
      <c r="EQ28" s="131">
        <f t="shared" si="147"/>
        <v>32.239189918850144</v>
      </c>
      <c r="ER28" s="131">
        <f t="shared" si="148"/>
        <v>32.490843038343421</v>
      </c>
      <c r="ES28" s="131">
        <f t="shared" si="149"/>
        <v>32.582281098038308</v>
      </c>
      <c r="ET28" s="131">
        <f t="shared" si="150"/>
        <v>32.672794422642738</v>
      </c>
      <c r="EU28" s="131">
        <f t="shared" si="151"/>
        <v>56.171445397191526</v>
      </c>
      <c r="EV28" s="2">
        <f t="shared" si="152"/>
        <v>32.496277119468658</v>
      </c>
      <c r="EW28" s="3">
        <f t="shared" si="153"/>
        <v>0.17800876127503518</v>
      </c>
      <c r="EX28" s="3">
        <f t="shared" si="153"/>
        <v>0.52428961401617347</v>
      </c>
    </row>
    <row r="29" spans="1:156" x14ac:dyDescent="0.35">
      <c r="A29">
        <f t="shared" si="133"/>
        <v>2032</v>
      </c>
      <c r="B29" s="162">
        <f t="shared" si="134"/>
        <v>30.992721372433202</v>
      </c>
      <c r="C29" s="79">
        <f t="shared" si="135"/>
        <v>31.329296234015878</v>
      </c>
      <c r="D29" s="173">
        <f t="shared" si="136"/>
        <v>31.478391446235658</v>
      </c>
      <c r="E29" s="179">
        <f t="shared" si="137"/>
        <v>31.626610593632947</v>
      </c>
      <c r="F29" s="184">
        <f t="shared" si="138"/>
        <v>31.241955239689243</v>
      </c>
      <c r="G29" s="2">
        <f t="shared" si="139"/>
        <v>31.333794977201386</v>
      </c>
      <c r="I29" s="158">
        <f>'Scenario 57-40%'!B62</f>
        <v>2032</v>
      </c>
      <c r="J29" s="79">
        <f>'Scenario 57-40%'!C62</f>
        <v>17.271910112062958</v>
      </c>
      <c r="K29" s="79">
        <f>'Scenario 57-40%'!D62</f>
        <v>0.37219477700428399</v>
      </c>
      <c r="L29" s="79">
        <f>'Scenario 57-40%'!E62</f>
        <v>1.5244999437454785E-2</v>
      </c>
      <c r="M29" s="79">
        <f>'Scenario 57-40%'!F62</f>
        <v>10.421453756119952</v>
      </c>
      <c r="N29" s="79">
        <f>'Scenario 57-40%'!G62</f>
        <v>4.0399248509255177</v>
      </c>
      <c r="O29" s="79">
        <f>'Scenario 57-40%'!H62</f>
        <v>31.329296234015878</v>
      </c>
      <c r="P29" s="79"/>
      <c r="Q29" s="79"/>
      <c r="R29" s="79">
        <f>'Scenario 57-40%'!U62</f>
        <v>-0.40399248509255176</v>
      </c>
      <c r="S29" s="157">
        <f t="shared" si="140"/>
        <v>2032</v>
      </c>
      <c r="T29" s="162">
        <f>'Scenario 51-51%'!C62</f>
        <v>19.439113628142817</v>
      </c>
      <c r="U29" s="162">
        <f>'Scenario 51-51%'!D62</f>
        <v>0.30558169774738841</v>
      </c>
      <c r="V29" s="162">
        <f>'Scenario 51-51%'!E62</f>
        <v>1.2567380324375299E-2</v>
      </c>
      <c r="W29" s="162">
        <f>'Scenario 51-51%'!F62</f>
        <v>8.5562875369268756</v>
      </c>
      <c r="X29" s="162">
        <f>'Scenario 51-51%'!G62</f>
        <v>3.3303557859594544</v>
      </c>
      <c r="Y29" s="162">
        <f>'Scenario 51-51%'!H62</f>
        <v>30.992721372433202</v>
      </c>
      <c r="Z29" s="162"/>
      <c r="AA29" s="162"/>
      <c r="AB29" s="157">
        <f>'Scenario 51-51%'!U62</f>
        <v>-0.33303557859594546</v>
      </c>
      <c r="AC29" s="177">
        <f t="shared" si="141"/>
        <v>2032</v>
      </c>
      <c r="AD29" s="173">
        <f>'Scenario 61-33%'!C62</f>
        <v>15.827691811224769</v>
      </c>
      <c r="AE29" s="173">
        <f>'Scenario 61-33%'!D62</f>
        <v>0.41458491834958111</v>
      </c>
      <c r="AF29" s="178">
        <f>'Scenario 61-33%'!E62</f>
        <v>1.6948938873050819E-2</v>
      </c>
      <c r="AG29" s="173">
        <f>'Scenario 61-33%'!F62</f>
        <v>11.608377713788272</v>
      </c>
      <c r="AH29" s="173">
        <f>'Scenario 61-33%'!G62</f>
        <v>4.4914688013584669</v>
      </c>
      <c r="AI29" s="173">
        <f>'Scenario 61-33%'!H62</f>
        <v>31.478391446235658</v>
      </c>
      <c r="AJ29" s="173"/>
      <c r="AK29" s="173"/>
      <c r="AL29" s="159">
        <f>'Scenario 61-33%'!U62</f>
        <v>-0.44914688013584669</v>
      </c>
      <c r="AM29" s="182">
        <f t="shared" si="142"/>
        <v>2032</v>
      </c>
      <c r="AN29" s="179">
        <f>'Scenario 65-25%'!C62</f>
        <v>14.382597445564068</v>
      </c>
      <c r="AO29" s="179">
        <f>'Scenario 65-25%'!D62</f>
        <v>0.45697505969487856</v>
      </c>
      <c r="AP29" s="179">
        <f>'Scenario 65-25%'!E62</f>
        <v>1.8652878308646856E-2</v>
      </c>
      <c r="AQ29" s="179">
        <f>'Scenario 65-25%'!F62</f>
        <v>12.795301671456599</v>
      </c>
      <c r="AR29" s="179">
        <f>'Scenario 65-25%'!G62</f>
        <v>4.9430127517914171</v>
      </c>
      <c r="AS29" s="179">
        <f>'Scenario 65-25%'!H62</f>
        <v>31.626610593632947</v>
      </c>
      <c r="AT29" s="179"/>
      <c r="AU29" s="179"/>
      <c r="AV29" s="160">
        <f>'Scenario 65-25%'!U62</f>
        <v>-0.49430127517914169</v>
      </c>
      <c r="AW29" s="187">
        <f t="shared" si="143"/>
        <v>2032</v>
      </c>
      <c r="AX29" s="184">
        <f>'Scenario 69-19%'!C62</f>
        <v>12.290820470486832</v>
      </c>
      <c r="AY29" s="184">
        <f>'Scenario 69-19%'!D62</f>
        <v>0.50239306827912533</v>
      </c>
      <c r="AZ29" s="184">
        <f>'Scenario 69-19%'!E62</f>
        <v>2.0478527703928308E-2</v>
      </c>
      <c r="BA29" s="184">
        <f>'Scenario 69-19%'!F62</f>
        <v>14.06700591181551</v>
      </c>
      <c r="BB29" s="184">
        <f>'Scenario 69-19%'!G62</f>
        <v>5.4268098415410018</v>
      </c>
      <c r="BC29" s="184">
        <f>'Scenario 69-19%'!H62</f>
        <v>31.241955239689243</v>
      </c>
      <c r="BD29" s="184"/>
      <c r="BE29" s="184"/>
      <c r="BF29" s="161">
        <f>'Scenario 69-19%'!U62</f>
        <v>-0.54268098415410015</v>
      </c>
      <c r="BG29" s="86"/>
      <c r="BH29" s="2"/>
      <c r="BI29" s="2"/>
      <c r="BJ29" s="2"/>
      <c r="BK29" s="2"/>
      <c r="BL29" s="2"/>
      <c r="BM29" s="2"/>
      <c r="BN29" s="2"/>
      <c r="BO29" s="2"/>
      <c r="BQ29" s="192">
        <f t="shared" si="145"/>
        <v>2032</v>
      </c>
      <c r="BR29" s="190">
        <f>WAM!C62</f>
        <v>37.393101437334174</v>
      </c>
      <c r="BS29" s="190">
        <f>WAM!D62</f>
        <v>0.5096238310852369</v>
      </c>
      <c r="BT29" s="190">
        <f>WAM!E62</f>
        <v>1.9057902924445574E-2</v>
      </c>
      <c r="BU29" s="190">
        <f>WAM!F62</f>
        <v>14.269467270386633</v>
      </c>
      <c r="BV29" s="190">
        <f>WAM!G62</f>
        <v>5.0503442749780767</v>
      </c>
      <c r="BW29" s="190">
        <f>WAM!H62</f>
        <v>56.205090636747457</v>
      </c>
      <c r="BX29" s="190"/>
      <c r="BY29" s="190"/>
      <c r="BZ29" s="189">
        <f>WAM!U62</f>
        <v>-0.50782234595142228</v>
      </c>
      <c r="CC29" s="2"/>
      <c r="CD29" s="2"/>
      <c r="CE29" s="2"/>
      <c r="CF29" s="2"/>
      <c r="CG29" s="2"/>
      <c r="CH29" s="2"/>
      <c r="CL29" s="2"/>
      <c r="CM29" s="2"/>
      <c r="CN29" s="2"/>
      <c r="CO29" s="2"/>
      <c r="CP29" s="2"/>
      <c r="CQ29" s="2"/>
      <c r="CR29" s="134"/>
      <c r="CS29" s="134"/>
      <c r="CT29" s="134"/>
      <c r="CU29" s="135"/>
      <c r="CV29" s="135"/>
      <c r="CW29" s="135"/>
      <c r="CX29" s="135"/>
      <c r="CY29" s="135"/>
      <c r="CZ29" s="135"/>
      <c r="DA29" s="134"/>
      <c r="DB29" s="134"/>
      <c r="DL29" s="2">
        <f t="shared" si="75"/>
        <v>2038</v>
      </c>
      <c r="DM29">
        <f t="shared" si="76"/>
        <v>1.2567380324375299E-2</v>
      </c>
      <c r="DN29" s="2">
        <f t="shared" si="77"/>
        <v>1.5244999437454785E-2</v>
      </c>
      <c r="DO29">
        <f t="shared" si="78"/>
        <v>1.6948938873050819E-2</v>
      </c>
      <c r="DP29">
        <f t="shared" si="79"/>
        <v>1.8652878308646856E-2</v>
      </c>
      <c r="DQ29">
        <f t="shared" si="80"/>
        <v>2.0478527703928308E-2</v>
      </c>
      <c r="DR29" s="2">
        <f t="shared" si="81"/>
        <v>1.9174190364964139E-2</v>
      </c>
      <c r="DS29" s="86">
        <f t="shared" si="82"/>
        <v>2038</v>
      </c>
      <c r="DT29" s="2">
        <f t="shared" si="83"/>
        <v>-1.3321423143837821</v>
      </c>
      <c r="DU29" s="2">
        <f t="shared" si="84"/>
        <v>-1.6159699403702068</v>
      </c>
      <c r="DV29" s="2">
        <f t="shared" si="85"/>
        <v>-1.7965875205433868</v>
      </c>
      <c r="DW29" s="2">
        <f t="shared" si="86"/>
        <v>-1.977205100716567</v>
      </c>
      <c r="DX29" s="2">
        <f t="shared" si="87"/>
        <v>-2.1707239366164006</v>
      </c>
      <c r="DY29">
        <f t="shared" si="88"/>
        <v>-2.0312893838056891</v>
      </c>
      <c r="DZ29">
        <f t="shared" si="66"/>
        <v>2038</v>
      </c>
      <c r="EA29" s="2">
        <f t="shared" si="102"/>
        <v>-5.9946404147270194</v>
      </c>
      <c r="EB29" s="2">
        <f t="shared" si="89"/>
        <v>-7.2718647316659304</v>
      </c>
      <c r="EC29" s="2">
        <f t="shared" si="90"/>
        <v>-8.0846438424452405</v>
      </c>
      <c r="ED29" s="2">
        <f t="shared" si="91"/>
        <v>-8.8974229532245506</v>
      </c>
      <c r="EE29" s="2">
        <f t="shared" si="92"/>
        <v>-9.768257714773803</v>
      </c>
      <c r="EF29" s="2">
        <f t="shared" si="92"/>
        <v>-9.1408022271256009</v>
      </c>
      <c r="EG29">
        <f t="shared" si="67"/>
        <v>2038</v>
      </c>
      <c r="EH29" s="1">
        <f t="shared" si="93"/>
        <v>-2.6975881866271585E-3</v>
      </c>
      <c r="EI29" s="1">
        <f t="shared" si="94"/>
        <v>-3.2723391292496687E-3</v>
      </c>
      <c r="EJ29" s="1">
        <f t="shared" si="95"/>
        <v>-3.6380897291003579E-3</v>
      </c>
      <c r="EK29" s="1">
        <f t="shared" si="103"/>
        <v>-4.0038403289510477E-3</v>
      </c>
      <c r="EL29" s="1">
        <f t="shared" si="103"/>
        <v>-4.3957159716482112E-3</v>
      </c>
      <c r="EP29">
        <f t="shared" si="146"/>
        <v>2032</v>
      </c>
      <c r="EQ29" s="131">
        <f t="shared" si="147"/>
        <v>30.992721372433202</v>
      </c>
      <c r="ER29" s="131">
        <f t="shared" si="148"/>
        <v>31.329296234015878</v>
      </c>
      <c r="ES29" s="131">
        <f t="shared" si="149"/>
        <v>31.478391446235658</v>
      </c>
      <c r="ET29" s="131">
        <f t="shared" si="150"/>
        <v>31.626610593632947</v>
      </c>
      <c r="EU29" s="131">
        <f t="shared" si="151"/>
        <v>56.205090636747457</v>
      </c>
      <c r="EV29" s="2">
        <f t="shared" si="152"/>
        <v>31.356754911579422</v>
      </c>
      <c r="EW29" s="3">
        <f t="shared" si="153"/>
        <v>0.17751640983304862</v>
      </c>
      <c r="EX29" s="3">
        <f t="shared" si="153"/>
        <v>0.54097098792738274</v>
      </c>
    </row>
    <row r="30" spans="1:156" x14ac:dyDescent="0.35">
      <c r="A30">
        <f t="shared" si="133"/>
        <v>2033</v>
      </c>
      <c r="B30" s="162">
        <f t="shared" si="134"/>
        <v>29.746252826016132</v>
      </c>
      <c r="C30" s="79">
        <f t="shared" si="135"/>
        <v>30.167749429688332</v>
      </c>
      <c r="D30" s="173">
        <f t="shared" si="136"/>
        <v>30.374501794433037</v>
      </c>
      <c r="E30" s="179">
        <f t="shared" si="137"/>
        <v>30.580426764623137</v>
      </c>
      <c r="F30" s="184">
        <f t="shared" si="138"/>
        <v>30.2877913881407</v>
      </c>
      <c r="G30" s="2">
        <f t="shared" si="139"/>
        <v>30.231344440580266</v>
      </c>
      <c r="I30" s="158">
        <f>'Scenario 57-40%'!B63</f>
        <v>2033</v>
      </c>
      <c r="J30" s="79">
        <f>'Scenario 57-40%'!C63</f>
        <v>16.312359550281691</v>
      </c>
      <c r="K30" s="79">
        <f>'Scenario 57-40%'!D63</f>
        <v>0.37219477700428399</v>
      </c>
      <c r="L30" s="79">
        <f>'Scenario 57-40%'!E63</f>
        <v>1.5244999437454785E-2</v>
      </c>
      <c r="M30" s="79">
        <f>'Scenario 57-40%'!F63</f>
        <v>10.421453756119952</v>
      </c>
      <c r="N30" s="79">
        <f>'Scenario 57-40%'!G63</f>
        <v>4.0399248509255177</v>
      </c>
      <c r="O30" s="79">
        <f>'Scenario 57-40%'!H63</f>
        <v>30.167749429688332</v>
      </c>
      <c r="P30" s="79"/>
      <c r="Q30" s="79"/>
      <c r="R30" s="79">
        <f>'Scenario 57-40%'!U63</f>
        <v>-0.60598872763882761</v>
      </c>
      <c r="S30" s="157">
        <f t="shared" si="140"/>
        <v>2033</v>
      </c>
      <c r="T30" s="162">
        <f>'Scenario 51-51%'!C63</f>
        <v>18.35916287102372</v>
      </c>
      <c r="U30" s="162">
        <f>'Scenario 51-51%'!D63</f>
        <v>0.30558169774738841</v>
      </c>
      <c r="V30" s="162">
        <f>'Scenario 51-51%'!E63</f>
        <v>1.2567380324375299E-2</v>
      </c>
      <c r="W30" s="162">
        <f>'Scenario 51-51%'!F63</f>
        <v>8.5562875369268756</v>
      </c>
      <c r="X30" s="162">
        <f>'Scenario 51-51%'!G63</f>
        <v>3.3303557859594544</v>
      </c>
      <c r="Y30" s="162">
        <f>'Scenario 51-51%'!H63</f>
        <v>29.746252826016132</v>
      </c>
      <c r="Z30" s="162"/>
      <c r="AA30" s="162"/>
      <c r="AB30" s="157">
        <f>'Scenario 51-51%'!U63</f>
        <v>-0.49955336789391819</v>
      </c>
      <c r="AC30" s="177">
        <f t="shared" si="141"/>
        <v>2033</v>
      </c>
      <c r="AD30" s="173">
        <f>'Scenario 61-33%'!C63</f>
        <v>14.948375599490069</v>
      </c>
      <c r="AE30" s="173">
        <f>'Scenario 61-33%'!D63</f>
        <v>0.41458491834958111</v>
      </c>
      <c r="AF30" s="178">
        <f>'Scenario 61-33%'!E63</f>
        <v>1.6948938873050819E-2</v>
      </c>
      <c r="AG30" s="173">
        <f>'Scenario 61-33%'!F63</f>
        <v>11.608377713788272</v>
      </c>
      <c r="AH30" s="173">
        <f>'Scenario 61-33%'!G63</f>
        <v>4.4914688013584669</v>
      </c>
      <c r="AI30" s="173">
        <f>'Scenario 61-33%'!H63</f>
        <v>30.374501794433037</v>
      </c>
      <c r="AJ30" s="173"/>
      <c r="AK30" s="173"/>
      <c r="AL30" s="159">
        <f>'Scenario 61-33%'!U63</f>
        <v>-0.67372032020377004</v>
      </c>
      <c r="AM30" s="182">
        <f t="shared" si="142"/>
        <v>2033</v>
      </c>
      <c r="AN30" s="179">
        <f>'Scenario 65-25%'!C63</f>
        <v>13.583564254143836</v>
      </c>
      <c r="AO30" s="179">
        <f>'Scenario 65-25%'!D63</f>
        <v>0.45697505969487856</v>
      </c>
      <c r="AP30" s="179">
        <f>'Scenario 65-25%'!E63</f>
        <v>1.8652878308646856E-2</v>
      </c>
      <c r="AQ30" s="179">
        <f>'Scenario 65-25%'!F63</f>
        <v>12.795301671456599</v>
      </c>
      <c r="AR30" s="179">
        <f>'Scenario 65-25%'!G63</f>
        <v>4.9430127517914171</v>
      </c>
      <c r="AS30" s="179">
        <f>'Scenario 65-25%'!H63</f>
        <v>30.580426764623137</v>
      </c>
      <c r="AT30" s="179"/>
      <c r="AU30" s="179"/>
      <c r="AV30" s="160">
        <f>'Scenario 65-25%'!U63</f>
        <v>-0.74145191276871247</v>
      </c>
      <c r="AW30" s="187">
        <f t="shared" si="143"/>
        <v>2033</v>
      </c>
      <c r="AX30" s="184">
        <f>'Scenario 69-19%'!C63</f>
        <v>11.607997111015342</v>
      </c>
      <c r="AY30" s="184">
        <f>'Scenario 69-19%'!D63</f>
        <v>0.50239306827912533</v>
      </c>
      <c r="AZ30" s="184">
        <f>'Scenario 69-19%'!E63</f>
        <v>2.0478527703928308E-2</v>
      </c>
      <c r="BA30" s="184">
        <f>'Scenario 69-19%'!F63</f>
        <v>14.06700591181551</v>
      </c>
      <c r="BB30" s="184">
        <f>'Scenario 69-19%'!G63</f>
        <v>5.4268098415410018</v>
      </c>
      <c r="BC30" s="184">
        <f>'Scenario 69-19%'!H63</f>
        <v>30.2877913881407</v>
      </c>
      <c r="BD30" s="184"/>
      <c r="BE30" s="184"/>
      <c r="BF30" s="161">
        <f>'Scenario 69-19%'!U63</f>
        <v>-0.81402147623115018</v>
      </c>
      <c r="BG30" s="86"/>
      <c r="BH30" s="2"/>
      <c r="BI30" s="2"/>
      <c r="BJ30" s="2"/>
      <c r="BK30" s="2"/>
      <c r="BL30" s="2"/>
      <c r="BM30" s="2"/>
      <c r="BN30" s="2"/>
      <c r="BO30" s="2"/>
      <c r="BQ30" s="192">
        <f t="shared" si="145"/>
        <v>2033</v>
      </c>
      <c r="BR30" s="190">
        <f>WAM!C63</f>
        <v>37.364200054290251</v>
      </c>
      <c r="BS30" s="190">
        <f>WAM!D63</f>
        <v>0.51094099386105918</v>
      </c>
      <c r="BT30" s="190">
        <f>WAM!E63</f>
        <v>1.9063571295598422E-2</v>
      </c>
      <c r="BU30" s="190">
        <f>WAM!F63</f>
        <v>14.306347828109658</v>
      </c>
      <c r="BV30" s="190">
        <f>WAM!G63</f>
        <v>5.051846393333582</v>
      </c>
      <c r="BW30" s="190">
        <f>WAM!H63</f>
        <v>55.960660756806362</v>
      </c>
      <c r="BX30" s="190"/>
      <c r="BY30" s="190"/>
      <c r="BZ30" s="189">
        <f>WAM!U63</f>
        <v>-0.76173351892713348</v>
      </c>
      <c r="CC30" s="2"/>
      <c r="CD30" s="2"/>
      <c r="CE30" s="2"/>
      <c r="CF30" s="2"/>
      <c r="CG30" s="2"/>
      <c r="CH30" s="2"/>
      <c r="CL30" s="2"/>
      <c r="CM30" s="2"/>
      <c r="CN30" s="2"/>
      <c r="CO30" s="2"/>
      <c r="CP30" s="2"/>
      <c r="CQ30" s="2"/>
      <c r="CR30" s="134"/>
      <c r="CS30" s="134"/>
      <c r="CT30" s="134"/>
      <c r="CU30" s="135"/>
      <c r="CV30" s="135"/>
      <c r="CW30" s="135"/>
      <c r="CX30" s="135"/>
      <c r="CY30" s="135"/>
      <c r="CZ30" s="135"/>
      <c r="DA30" s="134"/>
      <c r="DB30" s="134"/>
      <c r="DL30" s="2">
        <f t="shared" si="75"/>
        <v>2039</v>
      </c>
      <c r="DM30">
        <f t="shared" si="76"/>
        <v>1.2567380324375299E-2</v>
      </c>
      <c r="DN30" s="2">
        <f t="shared" si="77"/>
        <v>1.5244999437454785E-2</v>
      </c>
      <c r="DO30">
        <f t="shared" si="78"/>
        <v>1.6948938873050819E-2</v>
      </c>
      <c r="DP30">
        <f t="shared" si="79"/>
        <v>1.8652878308646856E-2</v>
      </c>
      <c r="DQ30">
        <f t="shared" si="80"/>
        <v>2.0478527703928308E-2</v>
      </c>
      <c r="DR30" s="2">
        <f t="shared" si="81"/>
        <v>1.9153993935809816E-2</v>
      </c>
      <c r="DS30" s="86">
        <f t="shared" si="82"/>
        <v>2039</v>
      </c>
      <c r="DT30" s="2">
        <f t="shared" si="83"/>
        <v>-1.4986601036817548</v>
      </c>
      <c r="DU30" s="2">
        <f t="shared" si="84"/>
        <v>-1.8179661829164826</v>
      </c>
      <c r="DV30" s="2">
        <f t="shared" si="85"/>
        <v>-2.0211609606113101</v>
      </c>
      <c r="DW30" s="2">
        <f t="shared" si="86"/>
        <v>-2.2243557383061376</v>
      </c>
      <c r="DX30" s="2">
        <f t="shared" si="87"/>
        <v>-2.4420644286934508</v>
      </c>
      <c r="DY30">
        <f t="shared" si="88"/>
        <v>-2.2852005567814002</v>
      </c>
      <c r="DZ30">
        <f t="shared" si="66"/>
        <v>2039</v>
      </c>
      <c r="EA30" s="2">
        <f t="shared" si="102"/>
        <v>-7.4933005184087742</v>
      </c>
      <c r="EB30" s="2">
        <f t="shared" si="89"/>
        <v>-9.0898309145824125</v>
      </c>
      <c r="EC30" s="2">
        <f t="shared" si="90"/>
        <v>-10.10580480305655</v>
      </c>
      <c r="ED30" s="2">
        <f t="shared" si="91"/>
        <v>-11.121778691530688</v>
      </c>
      <c r="EE30" s="2">
        <f t="shared" si="92"/>
        <v>-12.210322143467254</v>
      </c>
      <c r="EF30" s="2">
        <f t="shared" si="92"/>
        <v>-11.426002783907002</v>
      </c>
      <c r="EG30">
        <f t="shared" si="67"/>
        <v>2039</v>
      </c>
      <c r="EH30" s="1">
        <f t="shared" si="93"/>
        <v>-3.3719852332839482E-3</v>
      </c>
      <c r="EI30" s="1">
        <f t="shared" si="94"/>
        <v>-4.0904239115620855E-3</v>
      </c>
      <c r="EJ30" s="1">
        <f t="shared" si="95"/>
        <v>-4.5476121613754472E-3</v>
      </c>
      <c r="EK30" s="1">
        <f t="shared" si="103"/>
        <v>-5.0048004111888098E-3</v>
      </c>
      <c r="EL30" s="1">
        <f t="shared" si="103"/>
        <v>-5.494644964560264E-3</v>
      </c>
      <c r="EP30">
        <f t="shared" si="146"/>
        <v>2033</v>
      </c>
      <c r="EQ30" s="131">
        <f t="shared" si="147"/>
        <v>29.746252826016132</v>
      </c>
      <c r="ER30" s="131">
        <f t="shared" si="148"/>
        <v>30.167749429688332</v>
      </c>
      <c r="ES30" s="131">
        <f t="shared" si="149"/>
        <v>30.374501794433037</v>
      </c>
      <c r="ET30" s="131">
        <f t="shared" si="150"/>
        <v>30.580426764623137</v>
      </c>
      <c r="EU30" s="131">
        <f t="shared" si="151"/>
        <v>55.960660756806362</v>
      </c>
      <c r="EV30" s="2">
        <f t="shared" si="152"/>
        <v>30.217232703690161</v>
      </c>
      <c r="EW30" s="3">
        <f t="shared" si="153"/>
        <v>0.18109330229813403</v>
      </c>
      <c r="EX30" s="3">
        <f t="shared" si="153"/>
        <v>0.55765236183859235</v>
      </c>
    </row>
    <row r="31" spans="1:156" x14ac:dyDescent="0.35">
      <c r="A31">
        <f t="shared" si="133"/>
        <v>2034</v>
      </c>
      <c r="B31" s="162">
        <f t="shared" si="134"/>
        <v>28.499784279599115</v>
      </c>
      <c r="C31" s="79">
        <f t="shared" si="135"/>
        <v>29.006202625360771</v>
      </c>
      <c r="D31" s="173">
        <f t="shared" si="136"/>
        <v>29.270612142630391</v>
      </c>
      <c r="E31" s="179">
        <f t="shared" si="137"/>
        <v>29.534242935613339</v>
      </c>
      <c r="F31" s="184">
        <f t="shared" si="138"/>
        <v>29.333627536592164</v>
      </c>
      <c r="G31" s="2">
        <f t="shared" si="139"/>
        <v>29.12889390395916</v>
      </c>
      <c r="I31" s="158">
        <f>'Scenario 57-40%'!B64</f>
        <v>2034</v>
      </c>
      <c r="J31" s="79">
        <f>'Scenario 57-40%'!C64</f>
        <v>15.352808988500405</v>
      </c>
      <c r="K31" s="79">
        <f>'Scenario 57-40%'!D64</f>
        <v>0.37219477700428399</v>
      </c>
      <c r="L31" s="79">
        <f>'Scenario 57-40%'!E64</f>
        <v>1.5244999437454785E-2</v>
      </c>
      <c r="M31" s="79">
        <f>'Scenario 57-40%'!F64</f>
        <v>10.421453756119952</v>
      </c>
      <c r="N31" s="79">
        <f>'Scenario 57-40%'!G64</f>
        <v>4.0399248509255177</v>
      </c>
      <c r="O31" s="79">
        <f>'Scenario 57-40%'!H64</f>
        <v>29.006202625360771</v>
      </c>
      <c r="P31" s="79"/>
      <c r="Q31" s="79"/>
      <c r="R31" s="79">
        <f>'Scenario 57-40%'!U64</f>
        <v>-0.80798497018510351</v>
      </c>
      <c r="S31" s="157">
        <f t="shared" si="140"/>
        <v>2034</v>
      </c>
      <c r="T31" s="162">
        <f>'Scenario 51-51%'!C64</f>
        <v>17.279212113904677</v>
      </c>
      <c r="U31" s="162">
        <f>'Scenario 51-51%'!D64</f>
        <v>0.30558169774738841</v>
      </c>
      <c r="V31" s="162">
        <f>'Scenario 51-51%'!E64</f>
        <v>1.2567380324375299E-2</v>
      </c>
      <c r="W31" s="162">
        <f>'Scenario 51-51%'!F64</f>
        <v>8.5562875369268756</v>
      </c>
      <c r="X31" s="162">
        <f>'Scenario 51-51%'!G64</f>
        <v>3.3303557859594544</v>
      </c>
      <c r="Y31" s="162">
        <f>'Scenario 51-51%'!H64</f>
        <v>28.499784279599115</v>
      </c>
      <c r="Z31" s="162"/>
      <c r="AA31" s="162"/>
      <c r="AB31" s="157">
        <f>'Scenario 51-51%'!U64</f>
        <v>-0.66607115719189092</v>
      </c>
      <c r="AC31" s="177">
        <f t="shared" si="141"/>
        <v>2034</v>
      </c>
      <c r="AD31" s="173">
        <f>'Scenario 61-33%'!C64</f>
        <v>14.069059387755347</v>
      </c>
      <c r="AE31" s="173">
        <f>'Scenario 61-33%'!D64</f>
        <v>0.41458491834958111</v>
      </c>
      <c r="AF31" s="178">
        <f>'Scenario 61-33%'!E64</f>
        <v>1.6948938873050819E-2</v>
      </c>
      <c r="AG31" s="173">
        <f>'Scenario 61-33%'!F64</f>
        <v>11.608377713788272</v>
      </c>
      <c r="AH31" s="173">
        <f>'Scenario 61-33%'!G64</f>
        <v>4.4914688013584669</v>
      </c>
      <c r="AI31" s="173">
        <f>'Scenario 61-33%'!H64</f>
        <v>29.270612142630391</v>
      </c>
      <c r="AJ31" s="173"/>
      <c r="AK31" s="173"/>
      <c r="AL31" s="159">
        <f>'Scenario 61-33%'!U64</f>
        <v>-0.89829376027169339</v>
      </c>
      <c r="AM31" s="182">
        <f t="shared" si="142"/>
        <v>2034</v>
      </c>
      <c r="AN31" s="179">
        <f>'Scenario 65-25%'!C64</f>
        <v>12.784531062723604</v>
      </c>
      <c r="AO31" s="179">
        <f>'Scenario 65-25%'!D64</f>
        <v>0.45697505969487856</v>
      </c>
      <c r="AP31" s="179">
        <f>'Scenario 65-25%'!E64</f>
        <v>1.8652878308646856E-2</v>
      </c>
      <c r="AQ31" s="179">
        <f>'Scenario 65-25%'!F64</f>
        <v>12.795301671456599</v>
      </c>
      <c r="AR31" s="179">
        <f>'Scenario 65-25%'!G64</f>
        <v>4.9430127517914171</v>
      </c>
      <c r="AS31" s="179">
        <f>'Scenario 65-25%'!H64</f>
        <v>29.534242935613339</v>
      </c>
      <c r="AT31" s="179"/>
      <c r="AU31" s="179"/>
      <c r="AV31" s="160">
        <f>'Scenario 65-25%'!U64</f>
        <v>-0.98860255035828337</v>
      </c>
      <c r="AW31" s="187">
        <f t="shared" si="143"/>
        <v>2034</v>
      </c>
      <c r="AX31" s="184">
        <f>'Scenario 69-19%'!C64</f>
        <v>10.925173751543852</v>
      </c>
      <c r="AY31" s="184">
        <f>'Scenario 69-19%'!D64</f>
        <v>0.50239306827912533</v>
      </c>
      <c r="AZ31" s="184">
        <f>'Scenario 69-19%'!E64</f>
        <v>2.0478527703928308E-2</v>
      </c>
      <c r="BA31" s="184">
        <f>'Scenario 69-19%'!F64</f>
        <v>14.06700591181551</v>
      </c>
      <c r="BB31" s="184">
        <f>'Scenario 69-19%'!G64</f>
        <v>5.4268098415410018</v>
      </c>
      <c r="BC31" s="184">
        <f>'Scenario 69-19%'!H64</f>
        <v>29.333627536592164</v>
      </c>
      <c r="BD31" s="184"/>
      <c r="BE31" s="184"/>
      <c r="BF31" s="161">
        <f>'Scenario 69-19%'!U64</f>
        <v>-1.0853619683082003</v>
      </c>
      <c r="BG31" s="86"/>
      <c r="BH31" s="2"/>
      <c r="BI31" s="2"/>
      <c r="BJ31" s="2"/>
      <c r="BK31" s="2"/>
      <c r="BL31" s="2"/>
      <c r="BM31" s="2"/>
      <c r="BN31" s="2"/>
      <c r="BO31" s="2"/>
      <c r="BQ31" s="192">
        <f t="shared" si="145"/>
        <v>2034</v>
      </c>
      <c r="BR31" s="190">
        <f>WAM!C64</f>
        <v>38.724742914179345</v>
      </c>
      <c r="BS31" s="190">
        <f>WAM!D64</f>
        <v>0.51236918056843839</v>
      </c>
      <c r="BT31" s="190">
        <f>WAM!E64</f>
        <v>1.9089487734951706E-2</v>
      </c>
      <c r="BU31" s="190">
        <f>WAM!F64</f>
        <v>14.346337055916274</v>
      </c>
      <c r="BV31" s="190">
        <f>WAM!G64</f>
        <v>5.0587142497622022</v>
      </c>
      <c r="BW31" s="190">
        <f>WAM!H64</f>
        <v>57.114149527954979</v>
      </c>
      <c r="BX31" s="190"/>
      <c r="BY31" s="190"/>
      <c r="BZ31" s="189">
        <f>WAM!U64</f>
        <v>-1.0156446919028446</v>
      </c>
      <c r="CC31" s="2"/>
      <c r="CD31" s="2"/>
      <c r="CE31" s="2"/>
      <c r="CF31" s="2"/>
      <c r="CG31" s="2"/>
      <c r="CH31" s="2"/>
      <c r="CL31" s="2"/>
      <c r="CM31" s="2"/>
      <c r="CN31" s="2"/>
      <c r="CO31" s="2"/>
      <c r="CP31" s="2"/>
      <c r="CQ31" s="2"/>
      <c r="CR31" s="134"/>
      <c r="CS31" s="134"/>
      <c r="CT31" s="134"/>
      <c r="CU31" s="135"/>
      <c r="CV31" s="135"/>
      <c r="CW31" s="135"/>
      <c r="CX31" s="135"/>
      <c r="CY31" s="135"/>
      <c r="CZ31" s="135"/>
      <c r="DA31" s="134"/>
      <c r="DB31" s="134"/>
      <c r="DL31" s="2">
        <f t="shared" si="75"/>
        <v>2040</v>
      </c>
      <c r="DM31">
        <f t="shared" si="76"/>
        <v>1.2567380324375299E-2</v>
      </c>
      <c r="DN31" s="2">
        <f t="shared" si="77"/>
        <v>1.5244999437454785E-2</v>
      </c>
      <c r="DO31">
        <f t="shared" si="78"/>
        <v>1.6948938873050819E-2</v>
      </c>
      <c r="DP31">
        <f t="shared" si="79"/>
        <v>1.8652878308646856E-2</v>
      </c>
      <c r="DQ31">
        <f t="shared" si="80"/>
        <v>2.0478527703928308E-2</v>
      </c>
      <c r="DR31" s="2">
        <f t="shared" si="81"/>
        <v>1.9163107394393294E-2</v>
      </c>
      <c r="DS31" s="86">
        <f t="shared" si="82"/>
        <v>2040</v>
      </c>
      <c r="DT31" s="2">
        <f t="shared" si="83"/>
        <v>-1.6651778929797276</v>
      </c>
      <c r="DU31" s="2">
        <f t="shared" si="84"/>
        <v>-2.0199624254627584</v>
      </c>
      <c r="DV31" s="2">
        <f t="shared" si="85"/>
        <v>-2.2457344006792335</v>
      </c>
      <c r="DW31" s="2">
        <f t="shared" si="86"/>
        <v>-2.4715063758957085</v>
      </c>
      <c r="DX31" s="2">
        <f t="shared" si="87"/>
        <v>-2.7134049207705009</v>
      </c>
      <c r="DY31">
        <f t="shared" si="88"/>
        <v>-2.5391117297571113</v>
      </c>
      <c r="DZ31">
        <f t="shared" si="66"/>
        <v>2040</v>
      </c>
      <c r="EA31" s="2">
        <f t="shared" si="102"/>
        <v>-9.1584784113885025</v>
      </c>
      <c r="EB31" s="2">
        <f t="shared" si="89"/>
        <v>-11.10979334004517</v>
      </c>
      <c r="EC31" s="2">
        <f t="shared" si="90"/>
        <v>-12.351539203735783</v>
      </c>
      <c r="ED31" s="2">
        <f t="shared" si="91"/>
        <v>-13.593285067426397</v>
      </c>
      <c r="EE31" s="2">
        <f t="shared" si="92"/>
        <v>-14.923727064237754</v>
      </c>
      <c r="EF31" s="2">
        <f t="shared" si="92"/>
        <v>-13.965114513664114</v>
      </c>
      <c r="EG31">
        <f t="shared" si="67"/>
        <v>2040</v>
      </c>
      <c r="EH31" s="1">
        <f t="shared" si="93"/>
        <v>-4.1213152851248261E-3</v>
      </c>
      <c r="EI31" s="1">
        <f t="shared" si="94"/>
        <v>-4.9994070030203262E-3</v>
      </c>
      <c r="EJ31" s="1">
        <f t="shared" si="95"/>
        <v>-5.5581926416811023E-3</v>
      </c>
      <c r="EK31" s="1">
        <f t="shared" si="103"/>
        <v>-6.1169782803418785E-3</v>
      </c>
      <c r="EL31" s="1">
        <f t="shared" si="103"/>
        <v>-6.7156771789069888E-3</v>
      </c>
      <c r="EP31">
        <f t="shared" si="146"/>
        <v>2034</v>
      </c>
      <c r="EQ31" s="131">
        <f t="shared" si="147"/>
        <v>28.499784279599115</v>
      </c>
      <c r="ER31" s="131">
        <f t="shared" si="148"/>
        <v>29.006202625360771</v>
      </c>
      <c r="ES31" s="131">
        <f t="shared" si="149"/>
        <v>29.270612142630391</v>
      </c>
      <c r="ET31" s="131">
        <f t="shared" si="150"/>
        <v>29.534242935613339</v>
      </c>
      <c r="EU31" s="131">
        <f t="shared" si="151"/>
        <v>57.114149527954979</v>
      </c>
      <c r="EV31" s="2">
        <f t="shared" si="152"/>
        <v>29.077710495800904</v>
      </c>
      <c r="EW31" s="3">
        <f t="shared" si="153"/>
        <v>0.16421359309451089</v>
      </c>
      <c r="EX31" s="3">
        <f t="shared" si="153"/>
        <v>0.57433373574980195</v>
      </c>
    </row>
    <row r="32" spans="1:156" x14ac:dyDescent="0.35">
      <c r="A32">
        <f t="shared" si="133"/>
        <v>2035</v>
      </c>
      <c r="B32" s="162">
        <f t="shared" si="134"/>
        <v>27.25331573318212</v>
      </c>
      <c r="C32" s="79">
        <f t="shared" si="135"/>
        <v>27.844655821033221</v>
      </c>
      <c r="D32" s="173">
        <f t="shared" si="136"/>
        <v>28.166722490827762</v>
      </c>
      <c r="E32" s="179">
        <f t="shared" si="137"/>
        <v>28.488059106603551</v>
      </c>
      <c r="F32" s="184">
        <f t="shared" si="138"/>
        <v>28.379463685043625</v>
      </c>
      <c r="G32" s="2">
        <f t="shared" si="139"/>
        <v>28.026443367338054</v>
      </c>
      <c r="I32" s="158">
        <f>'Scenario 57-40%'!B65</f>
        <v>2035</v>
      </c>
      <c r="J32" s="79">
        <f>'Scenario 57-40%'!C65</f>
        <v>14.393258426719131</v>
      </c>
      <c r="K32" s="79">
        <f>'Scenario 57-40%'!D65</f>
        <v>0.37219477700428399</v>
      </c>
      <c r="L32" s="79">
        <f>'Scenario 57-40%'!E65</f>
        <v>1.5244999437454785E-2</v>
      </c>
      <c r="M32" s="79">
        <f>'Scenario 57-40%'!F65</f>
        <v>10.421453756119952</v>
      </c>
      <c r="N32" s="79">
        <f>'Scenario 57-40%'!G65</f>
        <v>4.0399248509255177</v>
      </c>
      <c r="O32" s="79">
        <f>'Scenario 57-40%'!H65</f>
        <v>27.844655821033221</v>
      </c>
      <c r="P32" s="79"/>
      <c r="Q32" s="79"/>
      <c r="R32" s="79">
        <f>'Scenario 57-40%'!U65</f>
        <v>-1.0099812127313794</v>
      </c>
      <c r="S32" s="157">
        <f t="shared" si="140"/>
        <v>2035</v>
      </c>
      <c r="T32" s="162">
        <f>'Scenario 51-51%'!C65</f>
        <v>16.199261356785652</v>
      </c>
      <c r="U32" s="162">
        <f>'Scenario 51-51%'!D65</f>
        <v>0.30558169774738841</v>
      </c>
      <c r="V32" s="162">
        <f>'Scenario 51-51%'!E65</f>
        <v>1.2567380324375299E-2</v>
      </c>
      <c r="W32" s="162">
        <f>'Scenario 51-51%'!F65</f>
        <v>8.5562875369268756</v>
      </c>
      <c r="X32" s="162">
        <f>'Scenario 51-51%'!G65</f>
        <v>3.3303557859594544</v>
      </c>
      <c r="Y32" s="162">
        <f>'Scenario 51-51%'!H65</f>
        <v>27.25331573318212</v>
      </c>
      <c r="Z32" s="162"/>
      <c r="AA32" s="162"/>
      <c r="AB32" s="157">
        <f>'Scenario 51-51%'!U65</f>
        <v>-0.8325889464898637</v>
      </c>
      <c r="AC32" s="177">
        <f t="shared" si="141"/>
        <v>2035</v>
      </c>
      <c r="AD32" s="173">
        <f>'Scenario 61-33%'!C65</f>
        <v>13.18974317602064</v>
      </c>
      <c r="AE32" s="173">
        <f>'Scenario 61-33%'!D65</f>
        <v>0.41458491834958111</v>
      </c>
      <c r="AF32" s="178">
        <f>'Scenario 61-33%'!E65</f>
        <v>1.6948938873050819E-2</v>
      </c>
      <c r="AG32" s="173">
        <f>'Scenario 61-33%'!F65</f>
        <v>11.608377713788272</v>
      </c>
      <c r="AH32" s="173">
        <f>'Scenario 61-33%'!G65</f>
        <v>4.4914688013584669</v>
      </c>
      <c r="AI32" s="173">
        <f>'Scenario 61-33%'!H65</f>
        <v>28.166722490827762</v>
      </c>
      <c r="AJ32" s="173"/>
      <c r="AK32" s="173"/>
      <c r="AL32" s="159">
        <f>'Scenario 61-33%'!U65</f>
        <v>-1.1228672003396167</v>
      </c>
      <c r="AM32" s="182">
        <f t="shared" si="142"/>
        <v>2035</v>
      </c>
      <c r="AN32" s="179">
        <f>'Scenario 65-25%'!C65</f>
        <v>11.985497871303387</v>
      </c>
      <c r="AO32" s="179">
        <f>'Scenario 65-25%'!D65</f>
        <v>0.45697505969487856</v>
      </c>
      <c r="AP32" s="179">
        <f>'Scenario 65-25%'!E65</f>
        <v>1.8652878308646856E-2</v>
      </c>
      <c r="AQ32" s="179">
        <f>'Scenario 65-25%'!F65</f>
        <v>12.795301671456599</v>
      </c>
      <c r="AR32" s="179">
        <f>'Scenario 65-25%'!G65</f>
        <v>4.9430127517914171</v>
      </c>
      <c r="AS32" s="179">
        <f>'Scenario 65-25%'!H65</f>
        <v>28.488059106603551</v>
      </c>
      <c r="AT32" s="179"/>
      <c r="AU32" s="179"/>
      <c r="AV32" s="160">
        <f>'Scenario 65-25%'!U65</f>
        <v>-1.2357531879478543</v>
      </c>
      <c r="AW32" s="187">
        <f t="shared" si="143"/>
        <v>2035</v>
      </c>
      <c r="AX32" s="184">
        <f>'Scenario 69-19%'!C65</f>
        <v>10.242350392072362</v>
      </c>
      <c r="AY32" s="184">
        <f>'Scenario 69-19%'!D65</f>
        <v>0.50239306827912533</v>
      </c>
      <c r="AZ32" s="184">
        <f>'Scenario 69-19%'!E65</f>
        <v>2.0478527703928308E-2</v>
      </c>
      <c r="BA32" s="184">
        <f>'Scenario 69-19%'!F65</f>
        <v>14.06700591181551</v>
      </c>
      <c r="BB32" s="184">
        <f>'Scenario 69-19%'!G65</f>
        <v>5.4268098415410018</v>
      </c>
      <c r="BC32" s="184">
        <f>'Scenario 69-19%'!H65</f>
        <v>28.379463685043625</v>
      </c>
      <c r="BD32" s="184"/>
      <c r="BE32" s="184"/>
      <c r="BF32" s="161">
        <f>'Scenario 69-19%'!U65</f>
        <v>-1.3567024603852504</v>
      </c>
      <c r="BG32" s="86"/>
      <c r="BH32" s="2"/>
      <c r="BI32" s="2"/>
      <c r="BJ32" s="2"/>
      <c r="BK32" s="2"/>
      <c r="BL32" s="2"/>
      <c r="BM32" s="2"/>
      <c r="BN32" s="2"/>
      <c r="BO32" s="2"/>
      <c r="BQ32" s="192">
        <f t="shared" si="145"/>
        <v>2035</v>
      </c>
      <c r="BR32" s="190">
        <f>WAM!C65</f>
        <v>39.112067062213704</v>
      </c>
      <c r="BS32" s="190">
        <f>WAM!D65</f>
        <v>0.51388704784276373</v>
      </c>
      <c r="BT32" s="190">
        <f>WAM!E65</f>
        <v>1.913849913108135E-2</v>
      </c>
      <c r="BU32" s="190">
        <f>WAM!F65</f>
        <v>14.388837339597384</v>
      </c>
      <c r="BV32" s="190">
        <f>WAM!G65</f>
        <v>5.0717022697365577</v>
      </c>
      <c r="BW32" s="190">
        <f>WAM!H65</f>
        <v>57.303050806669091</v>
      </c>
      <c r="BX32" s="190"/>
      <c r="BY32" s="190"/>
      <c r="BZ32" s="189">
        <f>WAM!U65</f>
        <v>-1.2695558648785557</v>
      </c>
      <c r="CC32" s="2"/>
      <c r="CD32" s="2"/>
      <c r="CE32" s="2"/>
      <c r="CF32" s="2"/>
      <c r="CG32" s="2"/>
      <c r="CH32" s="2"/>
      <c r="CL32" s="2"/>
      <c r="CM32" s="2"/>
      <c r="CN32" s="2"/>
      <c r="CO32" s="2"/>
      <c r="CP32" s="2"/>
      <c r="CQ32" s="2"/>
      <c r="CR32" s="134"/>
      <c r="CS32" s="134"/>
      <c r="CT32" s="134"/>
      <c r="CU32" s="135"/>
      <c r="CV32" s="135"/>
      <c r="CW32" s="135"/>
      <c r="CX32" s="135"/>
      <c r="CY32" s="135"/>
      <c r="CZ32" s="135"/>
      <c r="DA32" s="134"/>
      <c r="DB32" s="134"/>
      <c r="DL32" s="2">
        <f t="shared" si="75"/>
        <v>2041</v>
      </c>
      <c r="DM32">
        <f t="shared" si="76"/>
        <v>1.2567380324375299E-2</v>
      </c>
      <c r="DN32" s="2">
        <f t="shared" si="77"/>
        <v>1.5244999437454785E-2</v>
      </c>
      <c r="DO32">
        <f t="shared" si="78"/>
        <v>1.6948938873050819E-2</v>
      </c>
      <c r="DP32">
        <f t="shared" si="79"/>
        <v>1.8652878308646856E-2</v>
      </c>
      <c r="DQ32">
        <f t="shared" si="80"/>
        <v>2.0478527703928308E-2</v>
      </c>
      <c r="DR32" s="2">
        <f t="shared" si="81"/>
        <v>1.9163107394393294E-2</v>
      </c>
      <c r="DS32" s="86">
        <f t="shared" si="82"/>
        <v>2041</v>
      </c>
      <c r="DT32" s="2">
        <f t="shared" si="83"/>
        <v>-1.8316956822777004</v>
      </c>
      <c r="DU32" s="2">
        <f t="shared" si="84"/>
        <v>-2.2219586680090342</v>
      </c>
      <c r="DV32" s="2">
        <f t="shared" si="85"/>
        <v>-2.4703078407471568</v>
      </c>
      <c r="DW32" s="2">
        <f t="shared" si="86"/>
        <v>-2.7186570134852794</v>
      </c>
      <c r="DX32" s="2">
        <f t="shared" si="87"/>
        <v>-2.984745412847551</v>
      </c>
      <c r="DY32">
        <f t="shared" si="88"/>
        <v>-2.7930229027328224</v>
      </c>
      <c r="DZ32">
        <f t="shared" si="66"/>
        <v>2041</v>
      </c>
      <c r="EA32" s="2">
        <f t="shared" si="102"/>
        <v>-10.990174093666203</v>
      </c>
      <c r="EB32" s="2">
        <f t="shared" si="89"/>
        <v>-13.331752008054204</v>
      </c>
      <c r="EC32" s="2">
        <f t="shared" si="90"/>
        <v>-14.82184704448294</v>
      </c>
      <c r="ED32" s="2">
        <f t="shared" si="91"/>
        <v>-16.311942080911678</v>
      </c>
      <c r="EE32" s="2">
        <f t="shared" si="92"/>
        <v>-17.908472477085304</v>
      </c>
      <c r="EF32" s="2">
        <f t="shared" si="92"/>
        <v>-16.758137416396934</v>
      </c>
      <c r="EG32">
        <f t="shared" si="67"/>
        <v>2041</v>
      </c>
      <c r="EH32" s="1">
        <f t="shared" si="93"/>
        <v>-4.9455783421497911E-3</v>
      </c>
      <c r="EI32" s="1">
        <f t="shared" si="94"/>
        <v>-5.9992884036243919E-3</v>
      </c>
      <c r="EJ32" s="1">
        <f t="shared" si="95"/>
        <v>-6.6698311700173225E-3</v>
      </c>
      <c r="EK32" s="1">
        <f t="shared" si="103"/>
        <v>-7.3403739364102548E-3</v>
      </c>
      <c r="EL32" s="1">
        <f t="shared" si="103"/>
        <v>-8.0588126146883873E-3</v>
      </c>
      <c r="EP32">
        <f t="shared" si="146"/>
        <v>2035</v>
      </c>
      <c r="EQ32" s="131">
        <f t="shared" si="147"/>
        <v>27.25331573318212</v>
      </c>
      <c r="ER32" s="131">
        <f t="shared" si="148"/>
        <v>27.844655821033221</v>
      </c>
      <c r="ES32" s="131">
        <f t="shared" si="149"/>
        <v>28.166722490827762</v>
      </c>
      <c r="ET32" s="131">
        <f t="shared" si="150"/>
        <v>28.488059106603551</v>
      </c>
      <c r="EU32" s="131">
        <f t="shared" si="151"/>
        <v>57.303050806669091</v>
      </c>
      <c r="EV32" s="2">
        <f t="shared" si="152"/>
        <v>27.938188287911665</v>
      </c>
      <c r="EW32" s="3">
        <f t="shared" si="153"/>
        <v>0.16144928473482778</v>
      </c>
      <c r="EX32" s="3">
        <f t="shared" si="153"/>
        <v>0.59101510966101123</v>
      </c>
      <c r="EY32" s="3">
        <f>EW32</f>
        <v>0.16144928473482778</v>
      </c>
      <c r="EZ32" s="3">
        <f>EX32</f>
        <v>0.59101510966101123</v>
      </c>
    </row>
    <row r="33" spans="1:154" x14ac:dyDescent="0.35">
      <c r="A33">
        <f t="shared" si="133"/>
        <v>2036</v>
      </c>
      <c r="B33" s="162">
        <f t="shared" si="134"/>
        <v>26.006847186765089</v>
      </c>
      <c r="C33" s="79">
        <f t="shared" si="135"/>
        <v>26.683109016705671</v>
      </c>
      <c r="D33" s="173">
        <f t="shared" si="136"/>
        <v>27.062832839025138</v>
      </c>
      <c r="E33" s="179">
        <f t="shared" si="137"/>
        <v>27.441875277593748</v>
      </c>
      <c r="F33" s="184">
        <f t="shared" si="138"/>
        <v>27.425299833495082</v>
      </c>
      <c r="G33" s="2">
        <f t="shared" si="139"/>
        <v>26.923992830716948</v>
      </c>
      <c r="I33" s="158">
        <f>'Scenario 57-40%'!B66</f>
        <v>2036</v>
      </c>
      <c r="J33" s="79">
        <f>'Scenario 57-40%'!C66</f>
        <v>13.433707864937857</v>
      </c>
      <c r="K33" s="79">
        <f>'Scenario 57-40%'!D66</f>
        <v>0.37219477700428399</v>
      </c>
      <c r="L33" s="79">
        <f>'Scenario 57-40%'!E66</f>
        <v>1.5244999437454785E-2</v>
      </c>
      <c r="M33" s="79">
        <f>'Scenario 57-40%'!F66</f>
        <v>10.421453756119952</v>
      </c>
      <c r="N33" s="79">
        <f>'Scenario 57-40%'!G66</f>
        <v>4.0399248509255177</v>
      </c>
      <c r="O33" s="79">
        <f>'Scenario 57-40%'!H66</f>
        <v>26.683109016705671</v>
      </c>
      <c r="P33" s="79"/>
      <c r="Q33" s="79"/>
      <c r="R33" s="79">
        <f>'Scenario 57-40%'!U66</f>
        <v>-1.2119774552776552</v>
      </c>
      <c r="S33" s="157">
        <f t="shared" si="140"/>
        <v>2036</v>
      </c>
      <c r="T33" s="162">
        <f>'Scenario 51-51%'!C66</f>
        <v>15.119310599666598</v>
      </c>
      <c r="U33" s="162">
        <f>'Scenario 51-51%'!D66</f>
        <v>0.30558169774738841</v>
      </c>
      <c r="V33" s="162">
        <f>'Scenario 51-51%'!E66</f>
        <v>1.2567380324375299E-2</v>
      </c>
      <c r="W33" s="162">
        <f>'Scenario 51-51%'!F66</f>
        <v>8.5562875369268756</v>
      </c>
      <c r="X33" s="162">
        <f>'Scenario 51-51%'!G66</f>
        <v>3.3303557859594544</v>
      </c>
      <c r="Y33" s="162">
        <f>'Scenario 51-51%'!H66</f>
        <v>26.006847186765089</v>
      </c>
      <c r="Z33" s="162"/>
      <c r="AA33" s="162"/>
      <c r="AB33" s="157">
        <f>'Scenario 51-51%'!U66</f>
        <v>-0.99910673578783649</v>
      </c>
      <c r="AC33" s="177">
        <f t="shared" si="141"/>
        <v>2036</v>
      </c>
      <c r="AD33" s="173">
        <f>'Scenario 61-33%'!C66</f>
        <v>12.310426964285941</v>
      </c>
      <c r="AE33" s="173">
        <f>'Scenario 61-33%'!D66</f>
        <v>0.41458491834958111</v>
      </c>
      <c r="AF33" s="178">
        <f>'Scenario 61-33%'!E66</f>
        <v>1.6948938873050819E-2</v>
      </c>
      <c r="AG33" s="173">
        <f>'Scenario 61-33%'!F66</f>
        <v>11.608377713788272</v>
      </c>
      <c r="AH33" s="173">
        <f>'Scenario 61-33%'!G66</f>
        <v>4.4914688013584669</v>
      </c>
      <c r="AI33" s="173">
        <f>'Scenario 61-33%'!H66</f>
        <v>27.062832839025138</v>
      </c>
      <c r="AJ33" s="173"/>
      <c r="AK33" s="173"/>
      <c r="AL33" s="159">
        <f>'Scenario 61-33%'!U66</f>
        <v>-1.3474406404075401</v>
      </c>
      <c r="AM33" s="182">
        <f t="shared" si="142"/>
        <v>2036</v>
      </c>
      <c r="AN33" s="179">
        <f>'Scenario 65-25%'!C66</f>
        <v>11.186464679883153</v>
      </c>
      <c r="AO33" s="179">
        <f>'Scenario 65-25%'!D66</f>
        <v>0.45697505969487856</v>
      </c>
      <c r="AP33" s="179">
        <f>'Scenario 65-25%'!E66</f>
        <v>1.8652878308646856E-2</v>
      </c>
      <c r="AQ33" s="179">
        <f>'Scenario 65-25%'!F66</f>
        <v>12.795301671456599</v>
      </c>
      <c r="AR33" s="179">
        <f>'Scenario 65-25%'!G66</f>
        <v>4.9430127517914171</v>
      </c>
      <c r="AS33" s="179">
        <f>'Scenario 65-25%'!H66</f>
        <v>27.441875277593748</v>
      </c>
      <c r="AT33" s="179"/>
      <c r="AU33" s="179"/>
      <c r="AV33" s="160">
        <f>'Scenario 65-25%'!U66</f>
        <v>-1.4829038255374252</v>
      </c>
      <c r="AW33" s="187">
        <f t="shared" si="143"/>
        <v>2036</v>
      </c>
      <c r="AX33" s="184">
        <f>'Scenario 69-19%'!C66</f>
        <v>9.5595270326008723</v>
      </c>
      <c r="AY33" s="184">
        <f>'Scenario 69-19%'!D66</f>
        <v>0.50239306827912533</v>
      </c>
      <c r="AZ33" s="184">
        <f>'Scenario 69-19%'!E66</f>
        <v>2.0478527703928308E-2</v>
      </c>
      <c r="BA33" s="184">
        <f>'Scenario 69-19%'!F66</f>
        <v>14.06700591181551</v>
      </c>
      <c r="BB33" s="184">
        <f>'Scenario 69-19%'!G66</f>
        <v>5.4268098415410018</v>
      </c>
      <c r="BC33" s="184">
        <f>'Scenario 69-19%'!H66</f>
        <v>27.425299833495082</v>
      </c>
      <c r="BD33" s="184"/>
      <c r="BE33" s="184"/>
      <c r="BF33" s="161">
        <f>'Scenario 69-19%'!U66</f>
        <v>-1.6280429524623006</v>
      </c>
      <c r="BG33" s="86"/>
      <c r="BH33" s="2"/>
      <c r="BI33" s="2"/>
      <c r="BJ33" s="2"/>
      <c r="BK33" s="2"/>
      <c r="BL33" s="2"/>
      <c r="BM33" s="2"/>
      <c r="BN33" s="2"/>
      <c r="BO33" s="2"/>
      <c r="BQ33" s="192">
        <f t="shared" si="145"/>
        <v>2036</v>
      </c>
      <c r="BR33" s="190">
        <f>WAM!C66</f>
        <v>39.502816314188848</v>
      </c>
      <c r="BS33" s="190">
        <f>WAM!D66</f>
        <v>0.51484044882840418</v>
      </c>
      <c r="BT33" s="190">
        <f>WAM!E66</f>
        <v>1.9124297380356606E-2</v>
      </c>
      <c r="BU33" s="190">
        <f>WAM!F66</f>
        <v>14.415532567195317</v>
      </c>
      <c r="BV33" s="190">
        <f>WAM!G66</f>
        <v>5.0679388057945003</v>
      </c>
      <c r="BW33" s="190">
        <f>WAM!H66</f>
        <v>57.462820649324399</v>
      </c>
      <c r="BX33" s="190"/>
      <c r="BY33" s="190"/>
      <c r="BZ33" s="189">
        <f>WAM!U66</f>
        <v>-1.5234670378542667</v>
      </c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L33" s="2">
        <f t="shared" si="75"/>
        <v>2042</v>
      </c>
      <c r="DM33">
        <f t="shared" si="76"/>
        <v>1.2567380324375299E-2</v>
      </c>
      <c r="DN33" s="2">
        <f t="shared" si="77"/>
        <v>1.5244999437454785E-2</v>
      </c>
      <c r="DO33">
        <f t="shared" si="78"/>
        <v>1.6948938873050819E-2</v>
      </c>
      <c r="DP33">
        <f t="shared" si="79"/>
        <v>1.8652878308646856E-2</v>
      </c>
      <c r="DQ33">
        <f t="shared" si="80"/>
        <v>2.0478527703928308E-2</v>
      </c>
      <c r="DR33" s="2">
        <f t="shared" si="81"/>
        <v>1.9163107394393294E-2</v>
      </c>
      <c r="DS33" s="86">
        <f t="shared" si="82"/>
        <v>2042</v>
      </c>
      <c r="DT33" s="2">
        <f t="shared" si="83"/>
        <v>-1.9982134715756732</v>
      </c>
      <c r="DU33" s="2">
        <f t="shared" si="84"/>
        <v>-2.42395491055531</v>
      </c>
      <c r="DV33" s="2">
        <f t="shared" si="85"/>
        <v>-2.6948812808150802</v>
      </c>
      <c r="DW33" s="2">
        <f t="shared" si="86"/>
        <v>-2.9658076510748503</v>
      </c>
      <c r="DX33" s="2">
        <f t="shared" si="87"/>
        <v>-3.2560859049246011</v>
      </c>
      <c r="DY33">
        <f t="shared" si="88"/>
        <v>-3.0469340757085335</v>
      </c>
      <c r="DZ33">
        <f t="shared" si="66"/>
        <v>2042</v>
      </c>
      <c r="EA33" s="2">
        <f t="shared" si="102"/>
        <v>-12.988387565241876</v>
      </c>
      <c r="EB33" s="2">
        <f t="shared" si="89"/>
        <v>-15.755706918609514</v>
      </c>
      <c r="EC33" s="2">
        <f t="shared" si="90"/>
        <v>-17.516728325298018</v>
      </c>
      <c r="ED33" s="2">
        <f t="shared" si="91"/>
        <v>-19.277749731986528</v>
      </c>
      <c r="EE33" s="2">
        <f t="shared" si="92"/>
        <v>-21.164558382009904</v>
      </c>
      <c r="EF33" s="2">
        <f t="shared" si="92"/>
        <v>-19.805071492105469</v>
      </c>
      <c r="EG33">
        <f t="shared" si="67"/>
        <v>2042</v>
      </c>
      <c r="EH33" s="1">
        <f t="shared" si="93"/>
        <v>-5.8447744043588438E-3</v>
      </c>
      <c r="EI33" s="1">
        <f t="shared" si="94"/>
        <v>-7.090068113374281E-3</v>
      </c>
      <c r="EJ33" s="1">
        <f t="shared" si="95"/>
        <v>-7.8825277463841076E-3</v>
      </c>
      <c r="EK33" s="1">
        <f t="shared" si="103"/>
        <v>-8.6749873793939367E-3</v>
      </c>
      <c r="EL33" s="1">
        <f t="shared" si="103"/>
        <v>-9.5240512719044559E-3</v>
      </c>
      <c r="EP33">
        <f t="shared" si="146"/>
        <v>2036</v>
      </c>
      <c r="EQ33" s="131">
        <f t="shared" si="147"/>
        <v>26.006847186765089</v>
      </c>
      <c r="ER33" s="131">
        <f t="shared" si="148"/>
        <v>26.683109016705671</v>
      </c>
      <c r="ES33" s="131">
        <f t="shared" si="149"/>
        <v>27.062832839025138</v>
      </c>
      <c r="ET33" s="131">
        <f t="shared" si="150"/>
        <v>27.441875277593748</v>
      </c>
      <c r="EU33" s="131">
        <f t="shared" si="151"/>
        <v>57.462820649324399</v>
      </c>
      <c r="EV33" s="2">
        <f t="shared" si="152"/>
        <v>26.798666080022411</v>
      </c>
      <c r="EW33" s="3">
        <f t="shared" si="153"/>
        <v>0.15911127455996954</v>
      </c>
      <c r="EX33" s="3">
        <f t="shared" si="153"/>
        <v>0.60769648357222072</v>
      </c>
    </row>
    <row r="34" spans="1:154" x14ac:dyDescent="0.35">
      <c r="A34">
        <f t="shared" si="133"/>
        <v>2037</v>
      </c>
      <c r="B34" s="162">
        <f t="shared" si="134"/>
        <v>24.760378640348073</v>
      </c>
      <c r="C34" s="79">
        <f t="shared" si="135"/>
        <v>25.521562212378122</v>
      </c>
      <c r="D34" s="173">
        <f t="shared" si="136"/>
        <v>25.958943187222502</v>
      </c>
      <c r="E34" s="179">
        <f t="shared" si="137"/>
        <v>26.395691448583953</v>
      </c>
      <c r="F34" s="184">
        <f t="shared" si="138"/>
        <v>26.471135981946542</v>
      </c>
      <c r="G34" s="2">
        <f t="shared" si="139"/>
        <v>25.821542294095838</v>
      </c>
      <c r="I34" s="158">
        <f>'Scenario 57-40%'!B67</f>
        <v>2037</v>
      </c>
      <c r="J34" s="79">
        <f>'Scenario 57-40%'!C67</f>
        <v>12.474157303156582</v>
      </c>
      <c r="K34" s="79">
        <f>'Scenario 57-40%'!D67</f>
        <v>0.37219477700428399</v>
      </c>
      <c r="L34" s="79">
        <f>'Scenario 57-40%'!E67</f>
        <v>1.5244999437454785E-2</v>
      </c>
      <c r="M34" s="79">
        <f>'Scenario 57-40%'!F67</f>
        <v>10.421453756119952</v>
      </c>
      <c r="N34" s="79">
        <f>'Scenario 57-40%'!G67</f>
        <v>4.0399248509255177</v>
      </c>
      <c r="O34" s="79">
        <f>'Scenario 57-40%'!H67</f>
        <v>25.521562212378122</v>
      </c>
      <c r="P34" s="79"/>
      <c r="Q34" s="79"/>
      <c r="R34" s="79">
        <f>'Scenario 57-40%'!U67</f>
        <v>-1.413973697823931</v>
      </c>
      <c r="S34" s="157">
        <f t="shared" si="140"/>
        <v>2037</v>
      </c>
      <c r="T34" s="162">
        <f>'Scenario 51-51%'!C67</f>
        <v>14.039359842547555</v>
      </c>
      <c r="U34" s="162">
        <f>'Scenario 51-51%'!D67</f>
        <v>0.30558169774738841</v>
      </c>
      <c r="V34" s="162">
        <f>'Scenario 51-51%'!E67</f>
        <v>1.2567380324375299E-2</v>
      </c>
      <c r="W34" s="162">
        <f>'Scenario 51-51%'!F67</f>
        <v>8.5562875369268756</v>
      </c>
      <c r="X34" s="162">
        <f>'Scenario 51-51%'!G67</f>
        <v>3.3303557859594544</v>
      </c>
      <c r="Y34" s="162">
        <f>'Scenario 51-51%'!H67</f>
        <v>24.760378640348073</v>
      </c>
      <c r="Z34" s="162"/>
      <c r="AA34" s="162"/>
      <c r="AB34" s="157">
        <f>'Scenario 51-51%'!U67</f>
        <v>-1.1656245250858093</v>
      </c>
      <c r="AC34" s="177">
        <f t="shared" si="141"/>
        <v>2037</v>
      </c>
      <c r="AD34" s="173">
        <f>'Scenario 61-33%'!C67</f>
        <v>11.431110752551229</v>
      </c>
      <c r="AE34" s="173">
        <f>'Scenario 61-33%'!D67</f>
        <v>0.41458491834958111</v>
      </c>
      <c r="AF34" s="178">
        <f>'Scenario 61-33%'!E67</f>
        <v>1.6948938873050819E-2</v>
      </c>
      <c r="AG34" s="173">
        <f>'Scenario 61-33%'!F67</f>
        <v>11.608377713788272</v>
      </c>
      <c r="AH34" s="173">
        <f>'Scenario 61-33%'!G67</f>
        <v>4.4914688013584669</v>
      </c>
      <c r="AI34" s="173">
        <f>'Scenario 61-33%'!H67</f>
        <v>25.958943187222502</v>
      </c>
      <c r="AJ34" s="173"/>
      <c r="AK34" s="173"/>
      <c r="AL34" s="159">
        <f>'Scenario 61-33%'!U67</f>
        <v>-1.5720140804754634</v>
      </c>
      <c r="AM34" s="182">
        <f t="shared" si="142"/>
        <v>2037</v>
      </c>
      <c r="AN34" s="179">
        <f>'Scenario 65-25%'!C67</f>
        <v>10.387431488462932</v>
      </c>
      <c r="AO34" s="179">
        <f>'Scenario 65-25%'!D67</f>
        <v>0.45697505969487856</v>
      </c>
      <c r="AP34" s="179">
        <f>'Scenario 65-25%'!E67</f>
        <v>1.8652878308646856E-2</v>
      </c>
      <c r="AQ34" s="179">
        <f>'Scenario 65-25%'!F67</f>
        <v>12.795301671456599</v>
      </c>
      <c r="AR34" s="179">
        <f>'Scenario 65-25%'!G67</f>
        <v>4.9430127517914171</v>
      </c>
      <c r="AS34" s="179">
        <f>'Scenario 65-25%'!H67</f>
        <v>26.395691448583953</v>
      </c>
      <c r="AT34" s="179"/>
      <c r="AU34" s="179"/>
      <c r="AV34" s="160">
        <f>'Scenario 65-25%'!U67</f>
        <v>-1.7300544631269961</v>
      </c>
      <c r="AW34" s="187">
        <f t="shared" si="143"/>
        <v>2037</v>
      </c>
      <c r="AX34" s="184">
        <f>'Scenario 69-19%'!C67</f>
        <v>8.8767036731293825</v>
      </c>
      <c r="AY34" s="184">
        <f>'Scenario 69-19%'!D67</f>
        <v>0.50239306827912533</v>
      </c>
      <c r="AZ34" s="184">
        <f>'Scenario 69-19%'!E67</f>
        <v>2.0478527703928308E-2</v>
      </c>
      <c r="BA34" s="184">
        <f>'Scenario 69-19%'!F67</f>
        <v>14.06700591181551</v>
      </c>
      <c r="BB34" s="184">
        <f>'Scenario 69-19%'!G67</f>
        <v>5.4268098415410018</v>
      </c>
      <c r="BC34" s="184">
        <f>'Scenario 69-19%'!H67</f>
        <v>26.471135981946542</v>
      </c>
      <c r="BD34" s="184"/>
      <c r="BE34" s="184"/>
      <c r="BF34" s="161">
        <f>'Scenario 69-19%'!U67</f>
        <v>-1.8993834445393507</v>
      </c>
      <c r="BG34" s="86"/>
      <c r="BH34" s="2"/>
      <c r="BI34" s="2"/>
      <c r="BJ34" s="2"/>
      <c r="BK34" s="2"/>
      <c r="BL34" s="2"/>
      <c r="BM34" s="2"/>
      <c r="BN34" s="2"/>
      <c r="BO34" s="2"/>
      <c r="BQ34" s="192">
        <f t="shared" si="145"/>
        <v>2037</v>
      </c>
      <c r="BR34" s="190">
        <f>WAM!C67</f>
        <v>39.950200570806409</v>
      </c>
      <c r="BS34" s="190">
        <f>WAM!D67</f>
        <v>0.51598174847674161</v>
      </c>
      <c r="BT34" s="190">
        <f>WAM!E67</f>
        <v>1.9141829848980128E-2</v>
      </c>
      <c r="BU34" s="190">
        <f>WAM!F67</f>
        <v>14.447488957348765</v>
      </c>
      <c r="BV34" s="190">
        <f>WAM!G67</f>
        <v>5.0725849099797342</v>
      </c>
      <c r="BW34" s="190">
        <f>WAM!H67</f>
        <v>57.692896227304928</v>
      </c>
      <c r="BX34" s="190"/>
      <c r="BY34" s="190"/>
      <c r="BZ34" s="189">
        <f>WAM!U67</f>
        <v>-1.7773782108299778</v>
      </c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L34" s="2">
        <f t="shared" si="75"/>
        <v>2043</v>
      </c>
      <c r="DM34">
        <f t="shared" si="76"/>
        <v>1.2567380324375299E-2</v>
      </c>
      <c r="DN34" s="2">
        <f t="shared" si="77"/>
        <v>1.5244999437454785E-2</v>
      </c>
      <c r="DO34">
        <f t="shared" si="78"/>
        <v>1.6948938873050819E-2</v>
      </c>
      <c r="DP34">
        <f t="shared" si="79"/>
        <v>1.8652878308646856E-2</v>
      </c>
      <c r="DQ34">
        <f t="shared" si="80"/>
        <v>2.0478527703928308E-2</v>
      </c>
      <c r="DR34" s="2">
        <f t="shared" si="81"/>
        <v>1.9163107394393294E-2</v>
      </c>
      <c r="DS34" s="86">
        <f t="shared" si="82"/>
        <v>2043</v>
      </c>
      <c r="DT34" s="2">
        <f t="shared" si="83"/>
        <v>-2.164731260873646</v>
      </c>
      <c r="DU34" s="2">
        <f t="shared" si="84"/>
        <v>-2.6259511531015858</v>
      </c>
      <c r="DV34" s="2">
        <f t="shared" si="85"/>
        <v>-2.9194547208830035</v>
      </c>
      <c r="DW34" s="2">
        <f t="shared" si="86"/>
        <v>-3.2129582886644212</v>
      </c>
      <c r="DX34" s="2">
        <f t="shared" si="87"/>
        <v>-3.5274263970016513</v>
      </c>
      <c r="DY34">
        <f t="shared" si="88"/>
        <v>-3.3008452486842446</v>
      </c>
      <c r="DZ34">
        <f t="shared" si="66"/>
        <v>2043</v>
      </c>
      <c r="EA34" s="2">
        <f t="shared" si="102"/>
        <v>-15.153118826115522</v>
      </c>
      <c r="EB34" s="2">
        <f t="shared" si="89"/>
        <v>-18.381658071711101</v>
      </c>
      <c r="EC34" s="2">
        <f t="shared" si="90"/>
        <v>-20.436183046181021</v>
      </c>
      <c r="ED34" s="2">
        <f t="shared" si="91"/>
        <v>-22.490708020650949</v>
      </c>
      <c r="EE34" s="2">
        <f t="shared" si="92"/>
        <v>-24.691984779011555</v>
      </c>
      <c r="EF34" s="2">
        <f t="shared" si="92"/>
        <v>-23.105916740789713</v>
      </c>
      <c r="EG34">
        <f t="shared" si="67"/>
        <v>2043</v>
      </c>
      <c r="EH34" s="1">
        <f t="shared" si="93"/>
        <v>-6.818903471751985E-3</v>
      </c>
      <c r="EI34" s="1">
        <f t="shared" si="94"/>
        <v>-8.2717461322699953E-3</v>
      </c>
      <c r="EJ34" s="1">
        <f t="shared" si="95"/>
        <v>-9.1962823707814594E-3</v>
      </c>
      <c r="EK34" s="1">
        <f t="shared" si="103"/>
        <v>-1.0120818609292927E-2</v>
      </c>
      <c r="EL34" s="1">
        <f t="shared" si="103"/>
        <v>-1.1111393150555199E-2</v>
      </c>
      <c r="EP34">
        <f t="shared" si="146"/>
        <v>2037</v>
      </c>
      <c r="EQ34" s="131">
        <f t="shared" si="147"/>
        <v>24.760378640348073</v>
      </c>
      <c r="ER34" s="131">
        <f t="shared" si="148"/>
        <v>25.521562212378122</v>
      </c>
      <c r="ES34" s="131">
        <f t="shared" si="149"/>
        <v>25.958943187222502</v>
      </c>
      <c r="ET34" s="131">
        <f t="shared" si="150"/>
        <v>26.395691448583953</v>
      </c>
      <c r="EU34" s="131">
        <f t="shared" si="151"/>
        <v>57.692896227304928</v>
      </c>
      <c r="EV34" s="2">
        <f t="shared" si="152"/>
        <v>25.659143872133164</v>
      </c>
      <c r="EW34" s="3">
        <f t="shared" si="153"/>
        <v>0.15574443740619326</v>
      </c>
      <c r="EX34" s="3">
        <f t="shared" si="153"/>
        <v>0.62437785748343022</v>
      </c>
    </row>
    <row r="35" spans="1:154" x14ac:dyDescent="0.35">
      <c r="A35">
        <f t="shared" si="133"/>
        <v>2038</v>
      </c>
      <c r="B35" s="162">
        <f t="shared" si="134"/>
        <v>23.513910093931059</v>
      </c>
      <c r="C35" s="79">
        <f t="shared" si="135"/>
        <v>24.360015408050572</v>
      </c>
      <c r="D35" s="173">
        <f t="shared" si="136"/>
        <v>24.855053535419856</v>
      </c>
      <c r="E35" s="179">
        <f t="shared" si="137"/>
        <v>25.349507619574155</v>
      </c>
      <c r="F35" s="184">
        <f t="shared" si="138"/>
        <v>25.516972130398003</v>
      </c>
      <c r="G35" s="2">
        <f t="shared" si="139"/>
        <v>24.719091757474729</v>
      </c>
      <c r="I35" s="158">
        <f>'Scenario 57-40%'!B68</f>
        <v>2038</v>
      </c>
      <c r="J35" s="79">
        <f>'Scenario 57-40%'!C68</f>
        <v>11.514606741375308</v>
      </c>
      <c r="K35" s="79">
        <f>'Scenario 57-40%'!D68</f>
        <v>0.37219477700428399</v>
      </c>
      <c r="L35" s="79">
        <f>'Scenario 57-40%'!E68</f>
        <v>1.5244999437454785E-2</v>
      </c>
      <c r="M35" s="79">
        <f>'Scenario 57-40%'!F68</f>
        <v>10.421453756119952</v>
      </c>
      <c r="N35" s="79">
        <f>'Scenario 57-40%'!G68</f>
        <v>4.0399248509255177</v>
      </c>
      <c r="O35" s="79">
        <f>'Scenario 57-40%'!H68</f>
        <v>24.360015408050572</v>
      </c>
      <c r="P35" s="79"/>
      <c r="Q35" s="79"/>
      <c r="R35" s="79">
        <f>'Scenario 57-40%'!U68</f>
        <v>-1.6159699403702068</v>
      </c>
      <c r="S35" s="157">
        <f t="shared" si="140"/>
        <v>2038</v>
      </c>
      <c r="T35" s="162">
        <f>'Scenario 51-51%'!C68</f>
        <v>12.959409085428508</v>
      </c>
      <c r="U35" s="162">
        <f>'Scenario 51-51%'!D68</f>
        <v>0.30558169774738841</v>
      </c>
      <c r="V35" s="162">
        <f>'Scenario 51-51%'!E68</f>
        <v>1.2567380324375299E-2</v>
      </c>
      <c r="W35" s="162">
        <f>'Scenario 51-51%'!F68</f>
        <v>8.5562875369268756</v>
      </c>
      <c r="X35" s="162">
        <f>'Scenario 51-51%'!G68</f>
        <v>3.3303557859594544</v>
      </c>
      <c r="Y35" s="162">
        <f>'Scenario 51-51%'!H68</f>
        <v>23.513910093931059</v>
      </c>
      <c r="Z35" s="162"/>
      <c r="AA35" s="162"/>
      <c r="AB35" s="157">
        <f>'Scenario 51-51%'!U68</f>
        <v>-1.3321423143837821</v>
      </c>
      <c r="AC35" s="177">
        <f t="shared" si="141"/>
        <v>2038</v>
      </c>
      <c r="AD35" s="173">
        <f>'Scenario 61-33%'!C68</f>
        <v>10.551794540816505</v>
      </c>
      <c r="AE35" s="173">
        <f>'Scenario 61-33%'!D68</f>
        <v>0.41458491834958111</v>
      </c>
      <c r="AF35" s="178">
        <f>'Scenario 61-33%'!E68</f>
        <v>1.6948938873050819E-2</v>
      </c>
      <c r="AG35" s="173">
        <f>'Scenario 61-33%'!F68</f>
        <v>11.608377713788272</v>
      </c>
      <c r="AH35" s="173">
        <f>'Scenario 61-33%'!G68</f>
        <v>4.4914688013584669</v>
      </c>
      <c r="AI35" s="173">
        <f>'Scenario 61-33%'!H68</f>
        <v>24.855053535419856</v>
      </c>
      <c r="AJ35" s="173"/>
      <c r="AK35" s="173"/>
      <c r="AL35" s="159">
        <f>'Scenario 61-33%'!U68</f>
        <v>-1.7965875205433868</v>
      </c>
      <c r="AM35" s="182">
        <f t="shared" si="142"/>
        <v>2038</v>
      </c>
      <c r="AN35" s="179">
        <f>'Scenario 65-25%'!C68</f>
        <v>9.5883982970427066</v>
      </c>
      <c r="AO35" s="179">
        <f>'Scenario 65-25%'!D68</f>
        <v>0.45697505969487856</v>
      </c>
      <c r="AP35" s="179">
        <f>'Scenario 65-25%'!E68</f>
        <v>1.8652878308646856E-2</v>
      </c>
      <c r="AQ35" s="179">
        <f>'Scenario 65-25%'!F68</f>
        <v>12.795301671456599</v>
      </c>
      <c r="AR35" s="179">
        <f>'Scenario 65-25%'!G68</f>
        <v>4.9430127517914171</v>
      </c>
      <c r="AS35" s="179">
        <f>'Scenario 65-25%'!H68</f>
        <v>25.349507619574155</v>
      </c>
      <c r="AT35" s="179"/>
      <c r="AU35" s="179"/>
      <c r="AV35" s="160">
        <f>'Scenario 65-25%'!U68</f>
        <v>-1.977205100716567</v>
      </c>
      <c r="AW35" s="187">
        <f t="shared" si="143"/>
        <v>2038</v>
      </c>
      <c r="AX35" s="184">
        <f>'Scenario 69-19%'!C68</f>
        <v>8.1938803136578926</v>
      </c>
      <c r="AY35" s="184">
        <f>'Scenario 69-19%'!D68</f>
        <v>0.50239306827912533</v>
      </c>
      <c r="AZ35" s="184">
        <f>'Scenario 69-19%'!E68</f>
        <v>2.0478527703928308E-2</v>
      </c>
      <c r="BA35" s="184">
        <f>'Scenario 69-19%'!F68</f>
        <v>14.06700591181551</v>
      </c>
      <c r="BB35" s="184">
        <f>'Scenario 69-19%'!G68</f>
        <v>5.4268098415410018</v>
      </c>
      <c r="BC35" s="184">
        <f>'Scenario 69-19%'!H68</f>
        <v>25.516972130398003</v>
      </c>
      <c r="BD35" s="184"/>
      <c r="BE35" s="184"/>
      <c r="BF35" s="161">
        <f>'Scenario 69-19%'!U68</f>
        <v>-2.1707239366164006</v>
      </c>
      <c r="BG35" s="86"/>
      <c r="BH35" s="2"/>
      <c r="BI35" s="2"/>
      <c r="BJ35" s="2"/>
      <c r="BK35" s="2"/>
      <c r="BL35" s="2"/>
      <c r="BM35" s="2"/>
      <c r="BN35" s="2"/>
      <c r="BO35" s="2"/>
      <c r="BQ35" s="192">
        <f t="shared" si="145"/>
        <v>2038</v>
      </c>
      <c r="BR35" s="190">
        <f>WAM!C68</f>
        <v>39.925010131859032</v>
      </c>
      <c r="BS35" s="190">
        <f>WAM!D68</f>
        <v>0.51720791300392288</v>
      </c>
      <c r="BT35" s="190">
        <f>WAM!E68</f>
        <v>1.9174190364964139E-2</v>
      </c>
      <c r="BU35" s="190">
        <f>WAM!F68</f>
        <v>14.48182156410984</v>
      </c>
      <c r="BV35" s="190">
        <f>WAM!G68</f>
        <v>5.0811604467154972</v>
      </c>
      <c r="BW35" s="190">
        <f>WAM!H68</f>
        <v>57.456702758878677</v>
      </c>
      <c r="BX35" s="190"/>
      <c r="BY35" s="190"/>
      <c r="BZ35" s="189">
        <f>WAM!U68</f>
        <v>-2.0312893838056891</v>
      </c>
      <c r="CB35">
        <v>2050</v>
      </c>
      <c r="CR35" s="134"/>
      <c r="CS35" s="135"/>
      <c r="CT35" s="134"/>
      <c r="CU35" s="134"/>
      <c r="CV35" s="134"/>
      <c r="CW35" s="134"/>
      <c r="CX35" s="134"/>
      <c r="CY35" s="134"/>
      <c r="CZ35" s="134"/>
      <c r="DA35" s="134"/>
      <c r="DB35" s="134"/>
      <c r="DL35" s="2">
        <f t="shared" si="75"/>
        <v>2044</v>
      </c>
      <c r="DM35">
        <f t="shared" si="76"/>
        <v>1.2567380324375299E-2</v>
      </c>
      <c r="DN35" s="2">
        <f t="shared" si="77"/>
        <v>1.5244999437454785E-2</v>
      </c>
      <c r="DO35">
        <f t="shared" si="78"/>
        <v>1.6948938873050819E-2</v>
      </c>
      <c r="DP35">
        <f t="shared" si="79"/>
        <v>1.8652878308646856E-2</v>
      </c>
      <c r="DQ35">
        <f t="shared" si="80"/>
        <v>2.0478527703928308E-2</v>
      </c>
      <c r="DR35" s="2">
        <f t="shared" si="81"/>
        <v>1.9163107394393294E-2</v>
      </c>
      <c r="DS35" s="86">
        <f t="shared" si="82"/>
        <v>2044</v>
      </c>
      <c r="DT35" s="2">
        <f t="shared" si="83"/>
        <v>-2.3312490501716185</v>
      </c>
      <c r="DU35" s="2">
        <f t="shared" si="84"/>
        <v>-2.8279473956478616</v>
      </c>
      <c r="DV35" s="2">
        <f t="shared" si="85"/>
        <v>-3.1440281609509269</v>
      </c>
      <c r="DW35" s="2">
        <f t="shared" si="86"/>
        <v>-3.4601089262539921</v>
      </c>
      <c r="DX35" s="2">
        <f t="shared" si="87"/>
        <v>-3.7987668890787014</v>
      </c>
      <c r="DY35">
        <f t="shared" si="88"/>
        <v>-3.5547564216599556</v>
      </c>
      <c r="DZ35">
        <f t="shared" si="66"/>
        <v>2044</v>
      </c>
      <c r="EA35" s="2">
        <f t="shared" si="102"/>
        <v>-17.484367876287141</v>
      </c>
      <c r="EB35" s="2">
        <f t="shared" si="89"/>
        <v>-21.209605467358962</v>
      </c>
      <c r="EC35" s="2">
        <f t="shared" si="90"/>
        <v>-23.580211207131949</v>
      </c>
      <c r="ED35" s="2">
        <f t="shared" si="91"/>
        <v>-25.95081694690494</v>
      </c>
      <c r="EE35" s="2">
        <f t="shared" si="92"/>
        <v>-28.490751668090258</v>
      </c>
      <c r="EF35" s="2">
        <f t="shared" si="92"/>
        <v>-26.660673162449669</v>
      </c>
      <c r="EG35">
        <f t="shared" si="67"/>
        <v>2044</v>
      </c>
      <c r="EH35" s="1">
        <f t="shared" si="93"/>
        <v>-7.867965544329213E-3</v>
      </c>
      <c r="EI35" s="1">
        <f t="shared" si="94"/>
        <v>-9.5443224603115329E-3</v>
      </c>
      <c r="EJ35" s="1">
        <f t="shared" si="95"/>
        <v>-1.0611095043209376E-2</v>
      </c>
      <c r="EK35" s="1">
        <f t="shared" si="103"/>
        <v>-1.1677867626107223E-2</v>
      </c>
      <c r="EL35" s="1">
        <f t="shared" si="103"/>
        <v>-1.2820838250640615E-2</v>
      </c>
      <c r="EP35">
        <f t="shared" si="146"/>
        <v>2038</v>
      </c>
      <c r="EQ35" s="131">
        <f t="shared" si="147"/>
        <v>23.513910093931059</v>
      </c>
      <c r="ER35" s="131">
        <f t="shared" si="148"/>
        <v>24.360015408050572</v>
      </c>
      <c r="ES35" s="131">
        <f t="shared" si="149"/>
        <v>24.855053535419856</v>
      </c>
      <c r="ET35" s="131">
        <f t="shared" si="150"/>
        <v>25.349507619574155</v>
      </c>
      <c r="EU35" s="131">
        <f t="shared" si="151"/>
        <v>57.456702758878677</v>
      </c>
      <c r="EV35" s="2">
        <f t="shared" si="152"/>
        <v>24.51962166424391</v>
      </c>
      <c r="EW35" s="3">
        <f t="shared" si="153"/>
        <v>0.15920080140604409</v>
      </c>
      <c r="EX35" s="3">
        <f t="shared" si="153"/>
        <v>0.64105923139463972</v>
      </c>
    </row>
    <row r="36" spans="1:154" x14ac:dyDescent="0.35">
      <c r="A36">
        <f t="shared" si="133"/>
        <v>2039</v>
      </c>
      <c r="B36" s="162">
        <f t="shared" si="134"/>
        <v>22.267441547514043</v>
      </c>
      <c r="C36" s="79">
        <f t="shared" si="135"/>
        <v>23.198468603723015</v>
      </c>
      <c r="D36" s="173">
        <f t="shared" si="136"/>
        <v>23.751163883617238</v>
      </c>
      <c r="E36" s="179">
        <f t="shared" si="137"/>
        <v>24.303323790564363</v>
      </c>
      <c r="F36" s="184">
        <f t="shared" si="138"/>
        <v>24.562808278849459</v>
      </c>
      <c r="G36" s="2">
        <f t="shared" si="139"/>
        <v>23.616641220853623</v>
      </c>
      <c r="I36" s="158">
        <f>'Scenario 57-40%'!B69</f>
        <v>2039</v>
      </c>
      <c r="J36" s="79">
        <f>'Scenario 57-40%'!C69</f>
        <v>10.555056179594027</v>
      </c>
      <c r="K36" s="79">
        <f>'Scenario 57-40%'!D69</f>
        <v>0.37219477700428399</v>
      </c>
      <c r="L36" s="79">
        <f>'Scenario 57-40%'!E69</f>
        <v>1.5244999437454785E-2</v>
      </c>
      <c r="M36" s="79">
        <f>'Scenario 57-40%'!F69</f>
        <v>10.421453756119952</v>
      </c>
      <c r="N36" s="79">
        <f>'Scenario 57-40%'!G69</f>
        <v>4.0399248509255177</v>
      </c>
      <c r="O36" s="79">
        <f>'Scenario 57-40%'!H69</f>
        <v>23.198468603723015</v>
      </c>
      <c r="P36" s="79"/>
      <c r="Q36" s="79"/>
      <c r="R36" s="79">
        <f>'Scenario 57-40%'!U69</f>
        <v>-1.8179661829164826</v>
      </c>
      <c r="S36" s="157">
        <f t="shared" si="140"/>
        <v>2039</v>
      </c>
      <c r="T36" s="162">
        <f>'Scenario 51-51%'!C69</f>
        <v>11.879458328309468</v>
      </c>
      <c r="U36" s="162">
        <f>'Scenario 51-51%'!D69</f>
        <v>0.30558169774738841</v>
      </c>
      <c r="V36" s="162">
        <f>'Scenario 51-51%'!E69</f>
        <v>1.2567380324375299E-2</v>
      </c>
      <c r="W36" s="162">
        <f>'Scenario 51-51%'!F69</f>
        <v>8.5562875369268756</v>
      </c>
      <c r="X36" s="162">
        <f>'Scenario 51-51%'!G69</f>
        <v>3.3303557859594544</v>
      </c>
      <c r="Y36" s="162">
        <f>'Scenario 51-51%'!H69</f>
        <v>22.267441547514043</v>
      </c>
      <c r="Z36" s="162"/>
      <c r="AA36" s="162"/>
      <c r="AB36" s="157">
        <f>'Scenario 51-51%'!U69</f>
        <v>-1.4986601036817548</v>
      </c>
      <c r="AC36" s="177">
        <f t="shared" si="141"/>
        <v>2039</v>
      </c>
      <c r="AD36" s="173">
        <f>'Scenario 61-33%'!C69</f>
        <v>9.6724783290818124</v>
      </c>
      <c r="AE36" s="173">
        <f>'Scenario 61-33%'!D69</f>
        <v>0.41458491834958111</v>
      </c>
      <c r="AF36" s="178">
        <f>'Scenario 61-33%'!E69</f>
        <v>1.6948938873050819E-2</v>
      </c>
      <c r="AG36" s="173">
        <f>'Scenario 61-33%'!F69</f>
        <v>11.608377713788272</v>
      </c>
      <c r="AH36" s="173">
        <f>'Scenario 61-33%'!G69</f>
        <v>4.4914688013584669</v>
      </c>
      <c r="AI36" s="173">
        <f>'Scenario 61-33%'!H69</f>
        <v>23.751163883617238</v>
      </c>
      <c r="AJ36" s="173"/>
      <c r="AK36" s="173"/>
      <c r="AL36" s="159">
        <f>'Scenario 61-33%'!U69</f>
        <v>-2.0211609606113101</v>
      </c>
      <c r="AM36" s="182">
        <f t="shared" si="142"/>
        <v>2039</v>
      </c>
      <c r="AN36" s="179">
        <f>'Scenario 65-25%'!C69</f>
        <v>8.7893651056224851</v>
      </c>
      <c r="AO36" s="179">
        <f>'Scenario 65-25%'!D69</f>
        <v>0.45697505969487856</v>
      </c>
      <c r="AP36" s="179">
        <f>'Scenario 65-25%'!E69</f>
        <v>1.8652878308646856E-2</v>
      </c>
      <c r="AQ36" s="179">
        <f>'Scenario 65-25%'!F69</f>
        <v>12.795301671456599</v>
      </c>
      <c r="AR36" s="179">
        <f>'Scenario 65-25%'!G69</f>
        <v>4.9430127517914171</v>
      </c>
      <c r="AS36" s="179">
        <f>'Scenario 65-25%'!H69</f>
        <v>24.303323790564363</v>
      </c>
      <c r="AT36" s="179"/>
      <c r="AU36" s="179"/>
      <c r="AV36" s="160">
        <f>'Scenario 65-25%'!U69</f>
        <v>-2.2243557383061376</v>
      </c>
      <c r="AW36" s="187">
        <f t="shared" si="143"/>
        <v>2039</v>
      </c>
      <c r="AX36" s="184">
        <f>'Scenario 69-19%'!C69</f>
        <v>7.5110569541864018</v>
      </c>
      <c r="AY36" s="184">
        <f>'Scenario 69-19%'!D69</f>
        <v>0.50239306827912533</v>
      </c>
      <c r="AZ36" s="184">
        <f>'Scenario 69-19%'!E69</f>
        <v>2.0478527703928308E-2</v>
      </c>
      <c r="BA36" s="184">
        <f>'Scenario 69-19%'!F69</f>
        <v>14.06700591181551</v>
      </c>
      <c r="BB36" s="184">
        <f>'Scenario 69-19%'!G69</f>
        <v>5.4268098415410018</v>
      </c>
      <c r="BC36" s="184">
        <f>'Scenario 69-19%'!H69</f>
        <v>24.562808278849459</v>
      </c>
      <c r="BD36" s="184"/>
      <c r="BE36" s="184"/>
      <c r="BF36" s="161">
        <f>'Scenario 69-19%'!U69</f>
        <v>-2.4420644286934508</v>
      </c>
      <c r="BG36" s="86"/>
      <c r="BH36" s="2"/>
      <c r="BI36" s="2"/>
      <c r="BJ36" s="2"/>
      <c r="BK36" s="2"/>
      <c r="BL36" s="2"/>
      <c r="BM36" s="2"/>
      <c r="BN36" s="2"/>
      <c r="BO36" s="2"/>
      <c r="BQ36" s="192">
        <f t="shared" si="145"/>
        <v>2039</v>
      </c>
      <c r="BR36" s="190">
        <f>WAM!C69</f>
        <v>39.75863072429123</v>
      </c>
      <c r="BS36" s="190">
        <f>WAM!D69</f>
        <v>0.51831832116019383</v>
      </c>
      <c r="BT36" s="190">
        <f>WAM!E69</f>
        <v>1.9153993935809816E-2</v>
      </c>
      <c r="BU36" s="190">
        <f>WAM!F69</f>
        <v>14.512912992485427</v>
      </c>
      <c r="BV36" s="190">
        <f>WAM!G69</f>
        <v>5.0758083929896012</v>
      </c>
      <c r="BW36" s="190">
        <f>WAM!H69</f>
        <v>57.062151552984865</v>
      </c>
      <c r="BX36" s="190"/>
      <c r="BY36" s="190"/>
      <c r="BZ36" s="189">
        <f>WAM!U69</f>
        <v>-2.2852005567814002</v>
      </c>
      <c r="CB36" t="s">
        <v>298</v>
      </c>
      <c r="CC36" s="2" t="str">
        <f>CC7</f>
        <v>E51%-A51%</v>
      </c>
      <c r="CD36" s="2" t="str">
        <f t="shared" ref="CD36:CG36" si="154">CD7</f>
        <v>E57%-A40%</v>
      </c>
      <c r="CE36" s="2" t="str">
        <f t="shared" si="154"/>
        <v>E61%-A33%</v>
      </c>
      <c r="CF36" s="2" t="str">
        <f t="shared" si="154"/>
        <v>E65%-A26%</v>
      </c>
      <c r="CG36" s="2" t="str">
        <f t="shared" si="154"/>
        <v>E69%-A19%</v>
      </c>
      <c r="CH36" t="str">
        <f>CH7</f>
        <v>WAM</v>
      </c>
      <c r="CJ36" s="2"/>
      <c r="CK36" s="2"/>
      <c r="CL36" s="2"/>
      <c r="CM36" s="2"/>
      <c r="CN36" s="2"/>
      <c r="CO36" s="2"/>
      <c r="CR36" s="134"/>
      <c r="CS36" s="134"/>
      <c r="CT36" s="134"/>
      <c r="CU36" s="135"/>
      <c r="CV36" s="135"/>
      <c r="CW36" s="135"/>
      <c r="CX36" s="135"/>
      <c r="CY36" s="135"/>
      <c r="CZ36" s="134"/>
      <c r="DA36" s="134"/>
      <c r="DB36" s="134"/>
      <c r="DL36" s="2">
        <f t="shared" si="75"/>
        <v>2045</v>
      </c>
      <c r="DM36">
        <f t="shared" si="76"/>
        <v>1.2567380324375299E-2</v>
      </c>
      <c r="DN36" s="2">
        <f t="shared" si="77"/>
        <v>1.5244999437454785E-2</v>
      </c>
      <c r="DO36">
        <f t="shared" si="78"/>
        <v>1.6948938873050819E-2</v>
      </c>
      <c r="DP36">
        <f t="shared" si="79"/>
        <v>1.8652878308646856E-2</v>
      </c>
      <c r="DQ36">
        <f t="shared" si="80"/>
        <v>2.0478527703928308E-2</v>
      </c>
      <c r="DR36" s="2">
        <f t="shared" si="81"/>
        <v>1.9163107394393294E-2</v>
      </c>
      <c r="DS36" s="86">
        <f t="shared" si="82"/>
        <v>2045</v>
      </c>
      <c r="DT36" s="2">
        <f t="shared" si="83"/>
        <v>-2.4977668394695911</v>
      </c>
      <c r="DU36" s="2">
        <f t="shared" si="84"/>
        <v>-3.0299436381941374</v>
      </c>
      <c r="DV36" s="2">
        <f t="shared" si="85"/>
        <v>-3.3686016010188502</v>
      </c>
      <c r="DW36" s="2">
        <f t="shared" si="86"/>
        <v>-3.707259563843563</v>
      </c>
      <c r="DX36" s="2">
        <f t="shared" si="87"/>
        <v>-4.0701073811557515</v>
      </c>
      <c r="DY36">
        <f t="shared" si="88"/>
        <v>-3.8086675946356667</v>
      </c>
      <c r="DZ36">
        <f t="shared" si="66"/>
        <v>2045</v>
      </c>
      <c r="EA36" s="2">
        <f t="shared" si="102"/>
        <v>-19.982134715756732</v>
      </c>
      <c r="EB36" s="2">
        <f t="shared" si="89"/>
        <v>-24.239549105553099</v>
      </c>
      <c r="EC36" s="2">
        <f t="shared" si="90"/>
        <v>-26.948812808150798</v>
      </c>
      <c r="ED36" s="2">
        <f t="shared" si="91"/>
        <v>-29.658076510748504</v>
      </c>
      <c r="EE36" s="2">
        <f t="shared" si="92"/>
        <v>-32.560859049246012</v>
      </c>
      <c r="EF36" s="2">
        <f t="shared" si="92"/>
        <v>-30.469340757085334</v>
      </c>
      <c r="EG36">
        <f t="shared" si="67"/>
        <v>2045</v>
      </c>
      <c r="EH36" s="1">
        <f t="shared" si="93"/>
        <v>-8.9919606220905286E-3</v>
      </c>
      <c r="EI36" s="1">
        <f t="shared" si="94"/>
        <v>-1.0907797097498895E-2</v>
      </c>
      <c r="EJ36" s="1">
        <f t="shared" si="95"/>
        <v>-1.2126965763667858E-2</v>
      </c>
      <c r="EK36" s="1">
        <f t="shared" si="103"/>
        <v>-1.3346134429836827E-2</v>
      </c>
      <c r="EL36" s="1">
        <f t="shared" si="103"/>
        <v>-1.4652386572160706E-2</v>
      </c>
      <c r="EP36">
        <f t="shared" si="146"/>
        <v>2039</v>
      </c>
      <c r="EQ36" s="131">
        <f t="shared" si="147"/>
        <v>22.267441547514043</v>
      </c>
      <c r="ER36" s="131">
        <f t="shared" si="148"/>
        <v>23.198468603723015</v>
      </c>
      <c r="ES36" s="131">
        <f t="shared" si="149"/>
        <v>23.751163883617238</v>
      </c>
      <c r="ET36" s="131">
        <f t="shared" si="150"/>
        <v>24.303323790564363</v>
      </c>
      <c r="EU36" s="131">
        <f t="shared" si="151"/>
        <v>57.062151552984865</v>
      </c>
      <c r="EV36" s="2">
        <f t="shared" si="152"/>
        <v>23.380099456354664</v>
      </c>
      <c r="EW36" s="3">
        <f t="shared" si="153"/>
        <v>0.16497451137878583</v>
      </c>
      <c r="EX36" s="3">
        <f t="shared" si="153"/>
        <v>0.65774060530584899</v>
      </c>
    </row>
    <row r="37" spans="1:154" x14ac:dyDescent="0.35">
      <c r="A37">
        <f t="shared" si="133"/>
        <v>2040</v>
      </c>
      <c r="B37" s="162">
        <f t="shared" si="134"/>
        <v>21.020973001097026</v>
      </c>
      <c r="C37" s="79">
        <f t="shared" si="135"/>
        <v>22.036921799395458</v>
      </c>
      <c r="D37" s="173">
        <f t="shared" si="136"/>
        <v>22.647274231814595</v>
      </c>
      <c r="E37" s="179">
        <f t="shared" si="137"/>
        <v>23.257139961554554</v>
      </c>
      <c r="F37" s="184">
        <f t="shared" si="138"/>
        <v>23.608644427300923</v>
      </c>
      <c r="G37" s="2">
        <f t="shared" si="139"/>
        <v>22.51419068423251</v>
      </c>
      <c r="I37" s="158">
        <f>'Scenario 57-40%'!B70</f>
        <v>2040</v>
      </c>
      <c r="J37" s="79">
        <f>'Scenario 57-40%'!C70</f>
        <v>9.595505617812746</v>
      </c>
      <c r="K37" s="79">
        <f>'Scenario 57-40%'!D70</f>
        <v>0.37219477700428399</v>
      </c>
      <c r="L37" s="79">
        <f>'Scenario 57-40%'!E70</f>
        <v>1.5244999437454785E-2</v>
      </c>
      <c r="M37" s="79">
        <f>'Scenario 57-40%'!F70</f>
        <v>10.421453756119952</v>
      </c>
      <c r="N37" s="79">
        <f>'Scenario 57-40%'!G70</f>
        <v>4.0399248509255177</v>
      </c>
      <c r="O37" s="79">
        <f>'Scenario 57-40%'!H70</f>
        <v>22.036921799395458</v>
      </c>
      <c r="P37" s="79"/>
      <c r="Q37" s="79"/>
      <c r="R37" s="79">
        <f>'Scenario 57-40%'!U70</f>
        <v>-2.0199624254627584</v>
      </c>
      <c r="S37" s="157">
        <f t="shared" si="140"/>
        <v>2040</v>
      </c>
      <c r="T37" s="162">
        <f>'Scenario 51-51%'!C70</f>
        <v>10.799507571190423</v>
      </c>
      <c r="U37" s="162">
        <f>'Scenario 51-51%'!D70</f>
        <v>0.30558169774738841</v>
      </c>
      <c r="V37" s="162">
        <f>'Scenario 51-51%'!E70</f>
        <v>1.2567380324375299E-2</v>
      </c>
      <c r="W37" s="162">
        <f>'Scenario 51-51%'!F70</f>
        <v>8.5562875369268756</v>
      </c>
      <c r="X37" s="162">
        <f>'Scenario 51-51%'!G70</f>
        <v>3.3303557859594544</v>
      </c>
      <c r="Y37" s="162">
        <f>'Scenario 51-51%'!H70</f>
        <v>21.020973001097026</v>
      </c>
      <c r="Z37" s="162"/>
      <c r="AA37" s="162"/>
      <c r="AB37" s="157">
        <f>'Scenario 51-51%'!U70</f>
        <v>-1.6651778929797276</v>
      </c>
      <c r="AC37" s="177">
        <f t="shared" si="141"/>
        <v>2040</v>
      </c>
      <c r="AD37" s="173">
        <f>'Scenario 61-33%'!C70</f>
        <v>8.7931621173470909</v>
      </c>
      <c r="AE37" s="173">
        <f>'Scenario 61-33%'!D70</f>
        <v>0.41458491834958111</v>
      </c>
      <c r="AF37" s="178">
        <f>'Scenario 61-33%'!E70</f>
        <v>1.6948938873050819E-2</v>
      </c>
      <c r="AG37" s="173">
        <f>'Scenario 61-33%'!F70</f>
        <v>11.608377713788272</v>
      </c>
      <c r="AH37" s="173">
        <f>'Scenario 61-33%'!G70</f>
        <v>4.4914688013584669</v>
      </c>
      <c r="AI37" s="173">
        <f>'Scenario 61-33%'!H70</f>
        <v>22.647274231814595</v>
      </c>
      <c r="AJ37" s="173"/>
      <c r="AK37" s="173"/>
      <c r="AL37" s="159">
        <f>'Scenario 61-33%'!U70</f>
        <v>-2.2457344006792335</v>
      </c>
      <c r="AM37" s="182">
        <f t="shared" si="142"/>
        <v>2040</v>
      </c>
      <c r="AN37" s="179">
        <f>'Scenario 65-25%'!C70</f>
        <v>7.990331914202244</v>
      </c>
      <c r="AO37" s="179">
        <f>'Scenario 65-25%'!D70</f>
        <v>0.45697505969487856</v>
      </c>
      <c r="AP37" s="179">
        <f>'Scenario 65-25%'!E70</f>
        <v>1.8652878308646856E-2</v>
      </c>
      <c r="AQ37" s="179">
        <f>'Scenario 65-25%'!F70</f>
        <v>12.795301671456599</v>
      </c>
      <c r="AR37" s="179">
        <f>'Scenario 65-25%'!G70</f>
        <v>4.9430127517914171</v>
      </c>
      <c r="AS37" s="179">
        <f>'Scenario 65-25%'!H70</f>
        <v>23.257139961554554</v>
      </c>
      <c r="AT37" s="179"/>
      <c r="AU37" s="179"/>
      <c r="AV37" s="160">
        <f>'Scenario 65-25%'!U70</f>
        <v>-2.4715063758957085</v>
      </c>
      <c r="AW37" s="187">
        <f t="shared" si="143"/>
        <v>2040</v>
      </c>
      <c r="AX37" s="184">
        <f>'Scenario 69-19%'!C70</f>
        <v>6.8282335947149111</v>
      </c>
      <c r="AY37" s="184">
        <f>'Scenario 69-19%'!D70</f>
        <v>0.50239306827912533</v>
      </c>
      <c r="AZ37" s="184">
        <f>'Scenario 69-19%'!E70</f>
        <v>2.0478527703928308E-2</v>
      </c>
      <c r="BA37" s="184">
        <f>'Scenario 69-19%'!F70</f>
        <v>14.06700591181551</v>
      </c>
      <c r="BB37" s="184">
        <f>'Scenario 69-19%'!G70</f>
        <v>5.4268098415410018</v>
      </c>
      <c r="BC37" s="184">
        <f>'Scenario 69-19%'!H70</f>
        <v>23.608644427300923</v>
      </c>
      <c r="BD37" s="184"/>
      <c r="BE37" s="184"/>
      <c r="BF37" s="161">
        <f>'Scenario 69-19%'!U70</f>
        <v>-2.7134049207705009</v>
      </c>
      <c r="BG37" s="86"/>
      <c r="BH37" s="2"/>
      <c r="BI37" s="2"/>
      <c r="BJ37" s="2"/>
      <c r="BK37" s="2"/>
      <c r="BL37" s="2"/>
      <c r="BM37" s="2"/>
      <c r="BN37" s="2"/>
      <c r="BO37" s="2"/>
      <c r="BQ37" s="192">
        <f t="shared" si="145"/>
        <v>2040</v>
      </c>
      <c r="BR37" s="190">
        <f>WAM!C70</f>
        <v>40.175462122721363</v>
      </c>
      <c r="BS37" s="190">
        <f>WAM!D70</f>
        <v>0.5195613861832552</v>
      </c>
      <c r="BT37" s="190">
        <f>WAM!E70</f>
        <v>1.9163107394393294E-2</v>
      </c>
      <c r="BU37" s="190">
        <f>WAM!F70</f>
        <v>14.547718813131146</v>
      </c>
      <c r="BV37" s="190">
        <f>WAM!G70</f>
        <v>5.0782234595142226</v>
      </c>
      <c r="BW37" s="190">
        <f>WAM!H70</f>
        <v>57.262292665609621</v>
      </c>
      <c r="BX37" s="190"/>
      <c r="BY37" s="190"/>
      <c r="BZ37" s="189">
        <f>WAM!U70</f>
        <v>-2.5391117297571113</v>
      </c>
      <c r="CB37" t="s">
        <v>290</v>
      </c>
      <c r="CC37" s="2">
        <f>T95</f>
        <v>560.43235341844343</v>
      </c>
      <c r="CD37" s="2">
        <f t="shared" ref="CD37" si="155">J95</f>
        <v>525.73930707246723</v>
      </c>
      <c r="CE37" s="2">
        <f>AD95</f>
        <v>502.31923683788119</v>
      </c>
      <c r="CF37" s="2">
        <f>AN95</f>
        <v>478.60665829310796</v>
      </c>
      <c r="CG37" s="2">
        <f>AX95</f>
        <v>448.88784411593213</v>
      </c>
      <c r="CH37" s="2">
        <f>BR95</f>
        <v>1006.3846904492181</v>
      </c>
      <c r="CI37" s="2"/>
      <c r="CJ37" s="3"/>
      <c r="CK37" s="3"/>
      <c r="CL37" s="3"/>
      <c r="CM37" s="3"/>
      <c r="CN37" s="3"/>
      <c r="CO37" s="3"/>
      <c r="CP37" s="2"/>
      <c r="CQ37" s="2"/>
      <c r="CR37" s="134"/>
      <c r="CS37" s="135"/>
      <c r="CT37" s="134"/>
      <c r="CU37" s="135"/>
      <c r="CV37" s="135"/>
      <c r="CW37" s="135"/>
      <c r="CX37" s="135"/>
      <c r="CY37" s="135"/>
      <c r="CZ37" s="134"/>
      <c r="DA37" s="134"/>
      <c r="DB37" s="134"/>
      <c r="DL37" s="2">
        <f t="shared" si="75"/>
        <v>2046</v>
      </c>
      <c r="DM37">
        <f t="shared" si="76"/>
        <v>1.2567380324375299E-2</v>
      </c>
      <c r="DN37" s="2">
        <f t="shared" si="77"/>
        <v>1.5244999437454785E-2</v>
      </c>
      <c r="DO37">
        <f t="shared" si="78"/>
        <v>1.6948938873050819E-2</v>
      </c>
      <c r="DP37">
        <f t="shared" si="79"/>
        <v>1.8652878308646856E-2</v>
      </c>
      <c r="DQ37">
        <f t="shared" si="80"/>
        <v>2.0478527703928308E-2</v>
      </c>
      <c r="DR37" s="2">
        <f t="shared" si="81"/>
        <v>1.9163107394393294E-2</v>
      </c>
      <c r="DS37" s="86">
        <f t="shared" si="82"/>
        <v>2046</v>
      </c>
      <c r="DT37" s="2">
        <f t="shared" si="83"/>
        <v>-2.6642846287675637</v>
      </c>
      <c r="DU37" s="2">
        <f t="shared" si="84"/>
        <v>-3.2319398807404132</v>
      </c>
      <c r="DV37" s="2">
        <f t="shared" si="85"/>
        <v>-3.5931750410867735</v>
      </c>
      <c r="DW37" s="2">
        <f t="shared" si="86"/>
        <v>-3.9544102014331339</v>
      </c>
      <c r="DX37" s="2">
        <f t="shared" si="87"/>
        <v>-4.3414478732328012</v>
      </c>
      <c r="DY37">
        <f t="shared" si="88"/>
        <v>-4.0625787676113783</v>
      </c>
      <c r="DZ37">
        <f t="shared" si="66"/>
        <v>2046</v>
      </c>
      <c r="EA37" s="2">
        <f t="shared" si="102"/>
        <v>-22.646419344524297</v>
      </c>
      <c r="EB37" s="2">
        <f t="shared" si="89"/>
        <v>-27.471488986293512</v>
      </c>
      <c r="EC37" s="2">
        <f t="shared" si="90"/>
        <v>-30.541987849237572</v>
      </c>
      <c r="ED37" s="2">
        <f t="shared" si="91"/>
        <v>-33.612486712181635</v>
      </c>
      <c r="EE37" s="2">
        <f t="shared" si="92"/>
        <v>-36.902306922478814</v>
      </c>
      <c r="EF37" s="2">
        <f t="shared" si="92"/>
        <v>-34.531919524696711</v>
      </c>
      <c r="EG37">
        <f t="shared" si="67"/>
        <v>2046</v>
      </c>
      <c r="EH37" s="1">
        <f t="shared" si="93"/>
        <v>-1.0190888705035933E-2</v>
      </c>
      <c r="EI37" s="1">
        <f t="shared" si="94"/>
        <v>-1.2362170043832079E-2</v>
      </c>
      <c r="EJ37" s="1">
        <f t="shared" si="95"/>
        <v>-1.3743894532156907E-2</v>
      </c>
      <c r="EK37" s="1">
        <f t="shared" si="103"/>
        <v>-1.5125619020481736E-2</v>
      </c>
      <c r="EL37" s="1">
        <f t="shared" si="103"/>
        <v>-1.6606038115115466E-2</v>
      </c>
      <c r="EP37">
        <f t="shared" si="146"/>
        <v>2040</v>
      </c>
      <c r="EQ37" s="131">
        <f t="shared" si="147"/>
        <v>21.020973001097026</v>
      </c>
      <c r="ER37" s="131">
        <f t="shared" si="148"/>
        <v>22.036921799395458</v>
      </c>
      <c r="ES37" s="131">
        <f t="shared" si="149"/>
        <v>22.647274231814595</v>
      </c>
      <c r="ET37" s="131">
        <f t="shared" si="150"/>
        <v>23.257139961554554</v>
      </c>
      <c r="EU37" s="131">
        <f t="shared" si="151"/>
        <v>57.262292665609621</v>
      </c>
      <c r="EV37" s="2">
        <f t="shared" si="152"/>
        <v>22.24057724846541</v>
      </c>
      <c r="EW37" s="3">
        <f t="shared" si="153"/>
        <v>0.16204572363043923</v>
      </c>
      <c r="EX37" s="3">
        <f t="shared" si="153"/>
        <v>0.6744219792170586</v>
      </c>
    </row>
    <row r="38" spans="1:154" x14ac:dyDescent="0.35">
      <c r="A38">
        <f t="shared" si="133"/>
        <v>2041</v>
      </c>
      <c r="B38" s="162">
        <f t="shared" si="134"/>
        <v>19.774504454680002</v>
      </c>
      <c r="C38" s="79">
        <f t="shared" si="135"/>
        <v>20.875374995067911</v>
      </c>
      <c r="D38" s="173">
        <f t="shared" si="136"/>
        <v>21.54338458001196</v>
      </c>
      <c r="E38" s="179">
        <f t="shared" si="137"/>
        <v>22.210956132544766</v>
      </c>
      <c r="F38" s="184">
        <f t="shared" si="138"/>
        <v>22.65448057575238</v>
      </c>
      <c r="G38" s="2">
        <f t="shared" si="139"/>
        <v>21.411740147611404</v>
      </c>
      <c r="I38" s="158">
        <f>'Scenario 57-40%'!B71</f>
        <v>2041</v>
      </c>
      <c r="J38" s="79">
        <f>'Scenario 57-40%'!C71</f>
        <v>8.6359550560314755</v>
      </c>
      <c r="K38" s="79">
        <f>'Scenario 57-40%'!D71</f>
        <v>0.37219477700428399</v>
      </c>
      <c r="L38" s="79">
        <f>'Scenario 57-40%'!E71</f>
        <v>1.5244999437454785E-2</v>
      </c>
      <c r="M38" s="79">
        <f>'Scenario 57-40%'!F71</f>
        <v>10.421453756119952</v>
      </c>
      <c r="N38" s="79">
        <f>'Scenario 57-40%'!G71</f>
        <v>4.0399248509255177</v>
      </c>
      <c r="O38" s="79">
        <f>'Scenario 57-40%'!H71</f>
        <v>20.875374995067911</v>
      </c>
      <c r="P38" s="79"/>
      <c r="Q38" s="79"/>
      <c r="R38" s="79">
        <f>'Scenario 57-40%'!U71</f>
        <v>-2.2219586680090342</v>
      </c>
      <c r="S38" s="157">
        <f t="shared" si="140"/>
        <v>2041</v>
      </c>
      <c r="T38" s="162">
        <f>'Scenario 51-51%'!C71</f>
        <v>9.7195568140713746</v>
      </c>
      <c r="U38" s="162">
        <f>'Scenario 51-51%'!D71</f>
        <v>0.30558169774738841</v>
      </c>
      <c r="V38" s="162">
        <f>'Scenario 51-51%'!E71</f>
        <v>1.2567380324375299E-2</v>
      </c>
      <c r="W38" s="162">
        <f>'Scenario 51-51%'!F71</f>
        <v>8.5562875369268756</v>
      </c>
      <c r="X38" s="162">
        <f>'Scenario 51-51%'!G71</f>
        <v>3.3303557859594544</v>
      </c>
      <c r="Y38" s="162">
        <f>'Scenario 51-51%'!H71</f>
        <v>19.774504454680002</v>
      </c>
      <c r="Z38" s="162"/>
      <c r="AA38" s="162"/>
      <c r="AB38" s="157">
        <f>'Scenario 51-51%'!U71</f>
        <v>-1.8316956822777004</v>
      </c>
      <c r="AC38" s="177">
        <f t="shared" si="141"/>
        <v>2041</v>
      </c>
      <c r="AD38" s="173">
        <f>'Scenario 61-33%'!C71</f>
        <v>7.9138459056123791</v>
      </c>
      <c r="AE38" s="173">
        <f>'Scenario 61-33%'!D71</f>
        <v>0.41458491834958111</v>
      </c>
      <c r="AF38" s="178">
        <f>'Scenario 61-33%'!E71</f>
        <v>1.6948938873050819E-2</v>
      </c>
      <c r="AG38" s="173">
        <f>'Scenario 61-33%'!F71</f>
        <v>11.608377713788272</v>
      </c>
      <c r="AH38" s="173">
        <f>'Scenario 61-33%'!G71</f>
        <v>4.4914688013584669</v>
      </c>
      <c r="AI38" s="173">
        <f>'Scenario 61-33%'!H71</f>
        <v>21.54338458001196</v>
      </c>
      <c r="AJ38" s="173"/>
      <c r="AK38" s="173"/>
      <c r="AL38" s="159">
        <f>'Scenario 61-33%'!U71</f>
        <v>-2.4703078407471568</v>
      </c>
      <c r="AM38" s="182">
        <f t="shared" si="142"/>
        <v>2041</v>
      </c>
      <c r="AN38" s="179">
        <f>'Scenario 65-25%'!C71</f>
        <v>7.1912987227820286</v>
      </c>
      <c r="AO38" s="179">
        <f>'Scenario 65-25%'!D71</f>
        <v>0.45697505969487856</v>
      </c>
      <c r="AP38" s="179">
        <f>'Scenario 65-25%'!E71</f>
        <v>1.8652878308646856E-2</v>
      </c>
      <c r="AQ38" s="179">
        <f>'Scenario 65-25%'!F71</f>
        <v>12.795301671456599</v>
      </c>
      <c r="AR38" s="179">
        <f>'Scenario 65-25%'!G71</f>
        <v>4.9430127517914171</v>
      </c>
      <c r="AS38" s="179">
        <f>'Scenario 65-25%'!H71</f>
        <v>22.210956132544766</v>
      </c>
      <c r="AT38" s="179"/>
      <c r="AU38" s="179"/>
      <c r="AV38" s="160">
        <f>'Scenario 65-25%'!U71</f>
        <v>-2.7186570134852794</v>
      </c>
      <c r="AW38" s="187">
        <f t="shared" si="143"/>
        <v>2041</v>
      </c>
      <c r="AX38" s="184">
        <f>'Scenario 69-19%'!C71</f>
        <v>6.1454102352434203</v>
      </c>
      <c r="AY38" s="184">
        <f>'Scenario 69-19%'!D71</f>
        <v>0.50239306827912533</v>
      </c>
      <c r="AZ38" s="184">
        <f>'Scenario 69-19%'!E71</f>
        <v>2.0478527703928308E-2</v>
      </c>
      <c r="BA38" s="184">
        <f>'Scenario 69-19%'!F71</f>
        <v>14.06700591181551</v>
      </c>
      <c r="BB38" s="184">
        <f>'Scenario 69-19%'!G71</f>
        <v>5.4268098415410018</v>
      </c>
      <c r="BC38" s="184">
        <f>'Scenario 69-19%'!H71</f>
        <v>22.65448057575238</v>
      </c>
      <c r="BD38" s="184"/>
      <c r="BE38" s="184"/>
      <c r="BF38" s="161">
        <f>'Scenario 69-19%'!U71</f>
        <v>-2.984745412847551</v>
      </c>
      <c r="BG38" s="86"/>
      <c r="BH38" s="2"/>
      <c r="BI38" s="2"/>
      <c r="BJ38" s="2"/>
      <c r="BK38" s="2"/>
      <c r="BL38" s="2"/>
      <c r="BM38" s="2"/>
      <c r="BN38" s="2"/>
      <c r="BO38" s="2"/>
      <c r="BQ38" s="192">
        <f t="shared" si="145"/>
        <v>2041</v>
      </c>
      <c r="BR38" s="190">
        <f>WAM!C71</f>
        <v>36.157915910449226</v>
      </c>
      <c r="BS38" s="190">
        <f>WAM!D71</f>
        <v>0.5195613861832552</v>
      </c>
      <c r="BT38" s="190">
        <f>WAM!E71</f>
        <v>1.9163107394393294E-2</v>
      </c>
      <c r="BU38" s="190">
        <f>WAM!F71</f>
        <v>14.547718813131146</v>
      </c>
      <c r="BV38" s="190">
        <f>WAM!G71</f>
        <v>5.0782234595142226</v>
      </c>
      <c r="BW38" s="190">
        <f>WAM!H71</f>
        <v>52.990835280361772</v>
      </c>
      <c r="BX38" s="190"/>
      <c r="BY38" s="190"/>
      <c r="BZ38" s="189">
        <f>WAM!U71</f>
        <v>-2.7930229027328224</v>
      </c>
      <c r="CB38" t="s">
        <v>265</v>
      </c>
      <c r="CC38" s="2">
        <f>W95</f>
        <v>316.03609052174392</v>
      </c>
      <c r="CD38" s="2">
        <f t="shared" ref="CD38" si="156">M95</f>
        <v>362.66524600157049</v>
      </c>
      <c r="CE38" s="2">
        <f>AG95</f>
        <v>392.33834494327897</v>
      </c>
      <c r="CF38" s="2">
        <f>AQ95</f>
        <v>422.01144388498722</v>
      </c>
      <c r="CG38" s="2">
        <f>BA95</f>
        <v>453.80404989395936</v>
      </c>
      <c r="CH38" s="2">
        <f>BU95</f>
        <v>460.41051416837888</v>
      </c>
      <c r="CI38" s="2"/>
      <c r="CJ38" s="3"/>
      <c r="CK38" s="3"/>
      <c r="CL38" s="3"/>
      <c r="CM38" s="3"/>
      <c r="CN38" s="3"/>
      <c r="CO38" s="3"/>
      <c r="CP38" s="2"/>
      <c r="CQ38" s="2"/>
      <c r="CR38" s="134"/>
      <c r="CS38" s="135"/>
      <c r="CT38" s="134"/>
      <c r="CU38" s="134"/>
      <c r="CV38" s="134"/>
      <c r="CW38" s="134"/>
      <c r="CX38" s="134"/>
      <c r="CY38" s="134"/>
      <c r="CZ38" s="134"/>
      <c r="DA38" s="134"/>
      <c r="DB38" s="134"/>
      <c r="DL38" s="2">
        <f t="shared" si="75"/>
        <v>2047</v>
      </c>
      <c r="DM38">
        <f t="shared" si="76"/>
        <v>1.2567380324375299E-2</v>
      </c>
      <c r="DN38" s="2">
        <f t="shared" si="77"/>
        <v>1.5244999437454785E-2</v>
      </c>
      <c r="DO38">
        <f t="shared" si="78"/>
        <v>1.6948938873050819E-2</v>
      </c>
      <c r="DP38">
        <f t="shared" si="79"/>
        <v>1.8652878308646856E-2</v>
      </c>
      <c r="DQ38">
        <f t="shared" si="80"/>
        <v>2.0478527703928308E-2</v>
      </c>
      <c r="DR38" s="2">
        <f t="shared" si="81"/>
        <v>1.9163107394393294E-2</v>
      </c>
      <c r="DS38" s="86">
        <f t="shared" si="82"/>
        <v>2047</v>
      </c>
      <c r="DT38" s="2">
        <f t="shared" si="83"/>
        <v>-2.8308024180655362</v>
      </c>
      <c r="DU38" s="2">
        <f t="shared" si="84"/>
        <v>-3.433936123286689</v>
      </c>
      <c r="DV38" s="2">
        <f t="shared" si="85"/>
        <v>-3.8177484811546969</v>
      </c>
      <c r="DW38" s="2">
        <f t="shared" si="86"/>
        <v>-4.2015608390227044</v>
      </c>
      <c r="DX38" s="2">
        <f t="shared" si="87"/>
        <v>-4.6127883653098509</v>
      </c>
      <c r="DY38">
        <f t="shared" si="88"/>
        <v>-4.3164899405870898</v>
      </c>
      <c r="DZ38">
        <f t="shared" si="66"/>
        <v>2047</v>
      </c>
      <c r="EA38" s="2">
        <f>DT38+EA37</f>
        <v>-25.477221762589835</v>
      </c>
      <c r="EB38" s="2">
        <f t="shared" si="89"/>
        <v>-30.9054251095802</v>
      </c>
      <c r="EC38" s="2">
        <f t="shared" si="90"/>
        <v>-34.359736330392266</v>
      </c>
      <c r="ED38" s="2">
        <f t="shared" si="91"/>
        <v>-37.814047551204339</v>
      </c>
      <c r="EE38" s="2">
        <f t="shared" si="92"/>
        <v>-41.515095287788668</v>
      </c>
      <c r="EF38" s="2">
        <f t="shared" si="92"/>
        <v>-38.848409465283801</v>
      </c>
      <c r="EG38">
        <f t="shared" si="67"/>
        <v>2047</v>
      </c>
      <c r="EH38" s="1">
        <f t="shared" si="93"/>
        <v>-1.1464749793165425E-2</v>
      </c>
      <c r="EI38" s="1">
        <f t="shared" si="94"/>
        <v>-1.3907441299311089E-2</v>
      </c>
      <c r="EJ38" s="1">
        <f t="shared" si="95"/>
        <v>-1.546188134867652E-2</v>
      </c>
      <c r="EK38" s="1">
        <f t="shared" si="103"/>
        <v>-1.7016321398041951E-2</v>
      </c>
      <c r="EL38" s="1">
        <f t="shared" si="103"/>
        <v>-1.8681792879504899E-2</v>
      </c>
      <c r="EP38">
        <f t="shared" si="146"/>
        <v>2041</v>
      </c>
      <c r="EQ38" s="131">
        <f t="shared" si="147"/>
        <v>19.774504454680002</v>
      </c>
      <c r="ER38" s="131">
        <f t="shared" si="148"/>
        <v>20.875374995067911</v>
      </c>
      <c r="ES38" s="131">
        <f t="shared" si="149"/>
        <v>21.54338458001196</v>
      </c>
      <c r="ET38" s="131">
        <f t="shared" si="150"/>
        <v>22.210956132544766</v>
      </c>
      <c r="EU38" s="131">
        <f t="shared" si="151"/>
        <v>52.990835280361772</v>
      </c>
      <c r="EV38" s="2">
        <f t="shared" si="152"/>
        <v>21.10105504057616</v>
      </c>
      <c r="EW38" s="3">
        <f t="shared" si="153"/>
        <v>0.22455258138411793</v>
      </c>
      <c r="EX38" s="3">
        <f t="shared" si="153"/>
        <v>0.69110335312826798</v>
      </c>
    </row>
    <row r="39" spans="1:154" x14ac:dyDescent="0.35">
      <c r="A39">
        <f t="shared" si="133"/>
        <v>2042</v>
      </c>
      <c r="B39" s="162">
        <f t="shared" si="134"/>
        <v>18.528035908262986</v>
      </c>
      <c r="C39" s="79">
        <f t="shared" si="135"/>
        <v>19.713828190740362</v>
      </c>
      <c r="D39" s="173">
        <f t="shared" si="136"/>
        <v>20.439494928209335</v>
      </c>
      <c r="E39" s="179">
        <f t="shared" si="137"/>
        <v>21.164772303534971</v>
      </c>
      <c r="F39" s="184">
        <f t="shared" si="138"/>
        <v>21.700316724203841</v>
      </c>
      <c r="G39" s="2">
        <f t="shared" si="139"/>
        <v>20.309289610990298</v>
      </c>
      <c r="I39" s="158">
        <f>'Scenario 57-40%'!B72</f>
        <v>2042</v>
      </c>
      <c r="J39" s="79">
        <f>'Scenario 57-40%'!C72</f>
        <v>7.6764044942502014</v>
      </c>
      <c r="K39" s="79">
        <f>'Scenario 57-40%'!D72</f>
        <v>0.37219477700428399</v>
      </c>
      <c r="L39" s="79">
        <f>'Scenario 57-40%'!E72</f>
        <v>1.5244999437454785E-2</v>
      </c>
      <c r="M39" s="79">
        <f>'Scenario 57-40%'!F72</f>
        <v>10.421453756119952</v>
      </c>
      <c r="N39" s="79">
        <f>'Scenario 57-40%'!G72</f>
        <v>4.0399248509255177</v>
      </c>
      <c r="O39" s="79">
        <f>'Scenario 57-40%'!H72</f>
        <v>19.713828190740362</v>
      </c>
      <c r="P39" s="79"/>
      <c r="Q39" s="79"/>
      <c r="R39" s="79">
        <f>'Scenario 57-40%'!U72</f>
        <v>-2.42395491055531</v>
      </c>
      <c r="S39" s="157">
        <f t="shared" si="140"/>
        <v>2042</v>
      </c>
      <c r="T39" s="162">
        <f>'Scenario 51-51%'!C72</f>
        <v>8.6396060569523314</v>
      </c>
      <c r="U39" s="162">
        <f>'Scenario 51-51%'!D72</f>
        <v>0.30558169774738841</v>
      </c>
      <c r="V39" s="162">
        <f>'Scenario 51-51%'!E72</f>
        <v>1.2567380324375299E-2</v>
      </c>
      <c r="W39" s="162">
        <f>'Scenario 51-51%'!F72</f>
        <v>8.5562875369268756</v>
      </c>
      <c r="X39" s="162">
        <f>'Scenario 51-51%'!G72</f>
        <v>3.3303557859594544</v>
      </c>
      <c r="Y39" s="162">
        <f>'Scenario 51-51%'!H72</f>
        <v>18.528035908262986</v>
      </c>
      <c r="Z39" s="162"/>
      <c r="AA39" s="162"/>
      <c r="AB39" s="157">
        <f>'Scenario 51-51%'!U72</f>
        <v>-1.9982134715756732</v>
      </c>
      <c r="AC39" s="177">
        <f t="shared" si="141"/>
        <v>2042</v>
      </c>
      <c r="AD39" s="173">
        <f>'Scenario 61-33%'!C72</f>
        <v>7.0345296938776816</v>
      </c>
      <c r="AE39" s="173">
        <f>'Scenario 61-33%'!D72</f>
        <v>0.41458491834958111</v>
      </c>
      <c r="AF39" s="178">
        <f>'Scenario 61-33%'!E72</f>
        <v>1.6948938873050819E-2</v>
      </c>
      <c r="AG39" s="173">
        <f>'Scenario 61-33%'!F72</f>
        <v>11.608377713788272</v>
      </c>
      <c r="AH39" s="173">
        <f>'Scenario 61-33%'!G72</f>
        <v>4.4914688013584669</v>
      </c>
      <c r="AI39" s="173">
        <f>'Scenario 61-33%'!H72</f>
        <v>20.439494928209335</v>
      </c>
      <c r="AJ39" s="173"/>
      <c r="AK39" s="173"/>
      <c r="AL39" s="159">
        <f>'Scenario 61-33%'!U72</f>
        <v>-2.6948812808150802</v>
      </c>
      <c r="AM39" s="182">
        <f t="shared" si="142"/>
        <v>2042</v>
      </c>
      <c r="AN39" s="179">
        <f>'Scenario 65-25%'!C72</f>
        <v>6.3922655313618026</v>
      </c>
      <c r="AO39" s="179">
        <f>'Scenario 65-25%'!D72</f>
        <v>0.45697505969487856</v>
      </c>
      <c r="AP39" s="179">
        <f>'Scenario 65-25%'!E72</f>
        <v>1.8652878308646856E-2</v>
      </c>
      <c r="AQ39" s="179">
        <f>'Scenario 65-25%'!F72</f>
        <v>12.795301671456599</v>
      </c>
      <c r="AR39" s="179">
        <f>'Scenario 65-25%'!G72</f>
        <v>4.9430127517914171</v>
      </c>
      <c r="AS39" s="179">
        <f>'Scenario 65-25%'!H72</f>
        <v>21.164772303534971</v>
      </c>
      <c r="AT39" s="179"/>
      <c r="AU39" s="179"/>
      <c r="AV39" s="160">
        <f>'Scenario 65-25%'!U72</f>
        <v>-2.9658076510748503</v>
      </c>
      <c r="AW39" s="187">
        <f t="shared" si="143"/>
        <v>2042</v>
      </c>
      <c r="AX39" s="184">
        <f>'Scenario 69-19%'!C72</f>
        <v>5.4625868757719296</v>
      </c>
      <c r="AY39" s="184">
        <f>'Scenario 69-19%'!D72</f>
        <v>0.50239306827912533</v>
      </c>
      <c r="AZ39" s="184">
        <f>'Scenario 69-19%'!E72</f>
        <v>2.0478527703928308E-2</v>
      </c>
      <c r="BA39" s="184">
        <f>'Scenario 69-19%'!F72</f>
        <v>14.06700591181551</v>
      </c>
      <c r="BB39" s="184">
        <f>'Scenario 69-19%'!G72</f>
        <v>5.4268098415410018</v>
      </c>
      <c r="BC39" s="184">
        <f>'Scenario 69-19%'!H72</f>
        <v>21.700316724203841</v>
      </c>
      <c r="BD39" s="184"/>
      <c r="BE39" s="184"/>
      <c r="BF39" s="161">
        <f>'Scenario 69-19%'!U72</f>
        <v>-3.2560859049246011</v>
      </c>
      <c r="BG39" s="86"/>
      <c r="BH39" s="2"/>
      <c r="BI39" s="2"/>
      <c r="BJ39" s="2"/>
      <c r="BK39" s="2"/>
      <c r="BL39" s="2"/>
      <c r="BM39" s="2"/>
      <c r="BN39" s="2"/>
      <c r="BO39" s="2"/>
      <c r="BQ39" s="192">
        <f t="shared" si="145"/>
        <v>2042</v>
      </c>
      <c r="BR39" s="190">
        <f>WAM!C72</f>
        <v>32.140369698177089</v>
      </c>
      <c r="BS39" s="190">
        <f>WAM!D72</f>
        <v>0.5195613861832552</v>
      </c>
      <c r="BT39" s="190">
        <f>WAM!E72</f>
        <v>1.9163107394393294E-2</v>
      </c>
      <c r="BU39" s="190">
        <f>WAM!F72</f>
        <v>14.547718813131146</v>
      </c>
      <c r="BV39" s="190">
        <f>WAM!G72</f>
        <v>5.0782234595142226</v>
      </c>
      <c r="BW39" s="190">
        <f>WAM!H72</f>
        <v>48.719377895113922</v>
      </c>
      <c r="BX39" s="190"/>
      <c r="BY39" s="190"/>
      <c r="BZ39" s="189">
        <f>WAM!U72</f>
        <v>-3.0469340757085335</v>
      </c>
      <c r="CB39" t="s">
        <v>299</v>
      </c>
      <c r="CC39" s="2">
        <f>X95</f>
        <v>121.98409554870672</v>
      </c>
      <c r="CD39" s="2">
        <f t="shared" ref="CD39" si="157">N95</f>
        <v>139.7233221728583</v>
      </c>
      <c r="CE39" s="2">
        <f>AH95</f>
        <v>151.01192093368206</v>
      </c>
      <c r="CF39" s="2">
        <f>AR95</f>
        <v>162.30051969450582</v>
      </c>
      <c r="CG39" s="2">
        <f>BB95</f>
        <v>174.39544693824539</v>
      </c>
      <c r="CH39" s="2">
        <f>BV95</f>
        <v>162.86119749134085</v>
      </c>
      <c r="CI39" s="2"/>
      <c r="CJ39" s="3"/>
      <c r="CK39" s="3"/>
      <c r="CL39" s="3"/>
      <c r="CM39" s="3"/>
      <c r="CN39" s="3"/>
      <c r="CO39" s="3"/>
      <c r="CP39" s="2"/>
      <c r="CQ39" s="2"/>
      <c r="CR39" s="134"/>
      <c r="CS39" s="135"/>
      <c r="CT39" s="134"/>
      <c r="CU39" s="134"/>
      <c r="CV39" s="134"/>
      <c r="CW39" s="134"/>
      <c r="CX39" s="134"/>
      <c r="CY39" s="134"/>
      <c r="CZ39" s="134"/>
      <c r="DA39" s="134"/>
      <c r="DB39" s="134"/>
      <c r="DL39" s="2">
        <f t="shared" si="75"/>
        <v>2048</v>
      </c>
      <c r="DM39">
        <f t="shared" si="76"/>
        <v>1.2567380324375299E-2</v>
      </c>
      <c r="DN39" s="2">
        <f t="shared" si="77"/>
        <v>1.5244999437454785E-2</v>
      </c>
      <c r="DO39">
        <f t="shared" si="78"/>
        <v>1.6948938873050819E-2</v>
      </c>
      <c r="DP39">
        <f t="shared" si="79"/>
        <v>1.8652878308646856E-2</v>
      </c>
      <c r="DQ39">
        <f t="shared" si="80"/>
        <v>2.0478527703928308E-2</v>
      </c>
      <c r="DR39" s="2">
        <f t="shared" si="81"/>
        <v>1.9163107394393294E-2</v>
      </c>
      <c r="DS39" s="86">
        <f t="shared" si="82"/>
        <v>2048</v>
      </c>
      <c r="DT39" s="2">
        <f t="shared" si="83"/>
        <v>-2.9973202073635088</v>
      </c>
      <c r="DU39" s="2">
        <f t="shared" si="84"/>
        <v>-3.6359323658329648</v>
      </c>
      <c r="DV39" s="2">
        <f t="shared" si="85"/>
        <v>-4.0423219212226202</v>
      </c>
      <c r="DW39" s="2">
        <f t="shared" si="86"/>
        <v>-4.4487114766122753</v>
      </c>
      <c r="DX39" s="2">
        <f t="shared" si="87"/>
        <v>-4.8841288573869006</v>
      </c>
      <c r="DY39">
        <f t="shared" si="88"/>
        <v>-4.5704011135628013</v>
      </c>
      <c r="DZ39">
        <f t="shared" si="66"/>
        <v>2048</v>
      </c>
      <c r="EA39" s="2">
        <f t="shared" si="102"/>
        <v>-28.474541969953343</v>
      </c>
      <c r="EB39" s="2">
        <f t="shared" si="89"/>
        <v>-34.541357475413164</v>
      </c>
      <c r="EC39" s="2">
        <f t="shared" si="90"/>
        <v>-38.402058251614889</v>
      </c>
      <c r="ED39" s="2">
        <f t="shared" si="91"/>
        <v>-42.262759027816614</v>
      </c>
      <c r="EE39" s="2">
        <f t="shared" si="92"/>
        <v>-46.399224145175566</v>
      </c>
      <c r="EF39" s="2">
        <f t="shared" si="92"/>
        <v>-43.418810578846603</v>
      </c>
      <c r="EG39">
        <f t="shared" si="67"/>
        <v>2048</v>
      </c>
      <c r="EH39" s="1">
        <f t="shared" si="93"/>
        <v>-1.2813543886479003E-2</v>
      </c>
      <c r="EI39" s="1">
        <f t="shared" si="94"/>
        <v>-1.5543610863935924E-2</v>
      </c>
      <c r="EJ39" s="1">
        <f t="shared" si="95"/>
        <v>-1.7280926213226699E-2</v>
      </c>
      <c r="EK39" s="1">
        <f t="shared" si="103"/>
        <v>-1.9018241562517475E-2</v>
      </c>
      <c r="EL39" s="1">
        <f t="shared" si="103"/>
        <v>-2.0879650865329002E-2</v>
      </c>
      <c r="EP39">
        <f t="shared" si="146"/>
        <v>2042</v>
      </c>
      <c r="EQ39" s="131">
        <f t="shared" si="147"/>
        <v>18.528035908262986</v>
      </c>
      <c r="ER39" s="131">
        <f t="shared" si="148"/>
        <v>19.713828190740362</v>
      </c>
      <c r="ES39" s="131">
        <f t="shared" si="149"/>
        <v>20.439494928209335</v>
      </c>
      <c r="ET39" s="131">
        <f t="shared" si="150"/>
        <v>21.164772303534971</v>
      </c>
      <c r="EU39" s="131">
        <f t="shared" si="151"/>
        <v>48.719377895113922</v>
      </c>
      <c r="EV39" s="2">
        <f t="shared" si="152"/>
        <v>19.961532832686913</v>
      </c>
      <c r="EW39" s="3">
        <f t="shared" si="153"/>
        <v>0.28705943913779652</v>
      </c>
      <c r="EX39" s="3">
        <f t="shared" si="153"/>
        <v>0.70778472703947748</v>
      </c>
    </row>
    <row r="40" spans="1:154" x14ac:dyDescent="0.35">
      <c r="A40">
        <f t="shared" si="133"/>
        <v>2043</v>
      </c>
      <c r="B40" s="162">
        <f t="shared" si="134"/>
        <v>17.28156736184598</v>
      </c>
      <c r="C40" s="79">
        <f t="shared" si="135"/>
        <v>18.552281386412805</v>
      </c>
      <c r="D40" s="173">
        <f t="shared" si="136"/>
        <v>19.335605276406699</v>
      </c>
      <c r="E40" s="179">
        <f t="shared" si="137"/>
        <v>20.118588474525172</v>
      </c>
      <c r="F40" s="184">
        <f t="shared" si="138"/>
        <v>20.746152872655298</v>
      </c>
      <c r="G40" s="2">
        <f t="shared" si="139"/>
        <v>19.206839074369192</v>
      </c>
      <c r="I40" s="158">
        <f>'Scenario 57-40%'!B73</f>
        <v>2043</v>
      </c>
      <c r="J40" s="79">
        <f>'Scenario 57-40%'!C73</f>
        <v>6.7168539324689203</v>
      </c>
      <c r="K40" s="79">
        <f>'Scenario 57-40%'!D73</f>
        <v>0.37219477700428399</v>
      </c>
      <c r="L40" s="79">
        <f>'Scenario 57-40%'!E73</f>
        <v>1.5244999437454785E-2</v>
      </c>
      <c r="M40" s="79">
        <f>'Scenario 57-40%'!F73</f>
        <v>10.421453756119952</v>
      </c>
      <c r="N40" s="79">
        <f>'Scenario 57-40%'!G73</f>
        <v>4.0399248509255177</v>
      </c>
      <c r="O40" s="79">
        <f>'Scenario 57-40%'!H73</f>
        <v>18.552281386412805</v>
      </c>
      <c r="P40" s="79"/>
      <c r="Q40" s="79"/>
      <c r="R40" s="79">
        <f>'Scenario 57-40%'!U73</f>
        <v>-2.6259511531015858</v>
      </c>
      <c r="S40" s="157">
        <f t="shared" si="140"/>
        <v>2043</v>
      </c>
      <c r="T40" s="162">
        <f>'Scenario 51-51%'!C73</f>
        <v>7.5596552998332918</v>
      </c>
      <c r="U40" s="162">
        <f>'Scenario 51-51%'!D73</f>
        <v>0.30558169774738841</v>
      </c>
      <c r="V40" s="162">
        <f>'Scenario 51-51%'!E73</f>
        <v>1.2567380324375299E-2</v>
      </c>
      <c r="W40" s="162">
        <f>'Scenario 51-51%'!F73</f>
        <v>8.5562875369268756</v>
      </c>
      <c r="X40" s="162">
        <f>'Scenario 51-51%'!G73</f>
        <v>3.3303557859594544</v>
      </c>
      <c r="Y40" s="162">
        <f>'Scenario 51-51%'!H73</f>
        <v>17.28156736184598</v>
      </c>
      <c r="Z40" s="162"/>
      <c r="AA40" s="162"/>
      <c r="AB40" s="157">
        <f>'Scenario 51-51%'!U73</f>
        <v>-2.164731260873646</v>
      </c>
      <c r="AC40" s="177">
        <f t="shared" si="141"/>
        <v>2043</v>
      </c>
      <c r="AD40" s="173">
        <f>'Scenario 61-33%'!C73</f>
        <v>6.1552134821429654</v>
      </c>
      <c r="AE40" s="173">
        <f>'Scenario 61-33%'!D73</f>
        <v>0.41458491834958111</v>
      </c>
      <c r="AF40" s="178">
        <f>'Scenario 61-33%'!E73</f>
        <v>1.6948938873050819E-2</v>
      </c>
      <c r="AG40" s="173">
        <f>'Scenario 61-33%'!F73</f>
        <v>11.608377713788272</v>
      </c>
      <c r="AH40" s="173">
        <f>'Scenario 61-33%'!G73</f>
        <v>4.4914688013584669</v>
      </c>
      <c r="AI40" s="173">
        <f>'Scenario 61-33%'!H73</f>
        <v>19.335605276406699</v>
      </c>
      <c r="AJ40" s="173"/>
      <c r="AK40" s="173"/>
      <c r="AL40" s="159">
        <f>'Scenario 61-33%'!U73</f>
        <v>-2.9194547208830035</v>
      </c>
      <c r="AM40" s="182">
        <f t="shared" si="142"/>
        <v>2043</v>
      </c>
      <c r="AN40" s="179">
        <f>'Scenario 65-25%'!C73</f>
        <v>5.593232339941574</v>
      </c>
      <c r="AO40" s="179">
        <f>'Scenario 65-25%'!D73</f>
        <v>0.45697505969487856</v>
      </c>
      <c r="AP40" s="179">
        <f>'Scenario 65-25%'!E73</f>
        <v>1.8652878308646856E-2</v>
      </c>
      <c r="AQ40" s="179">
        <f>'Scenario 65-25%'!F73</f>
        <v>12.795301671456599</v>
      </c>
      <c r="AR40" s="179">
        <f>'Scenario 65-25%'!G73</f>
        <v>4.9430127517914171</v>
      </c>
      <c r="AS40" s="179">
        <f>'Scenario 65-25%'!H73</f>
        <v>20.118588474525172</v>
      </c>
      <c r="AT40" s="179"/>
      <c r="AU40" s="179"/>
      <c r="AV40" s="160">
        <f>'Scenario 65-25%'!U73</f>
        <v>-3.2129582886644212</v>
      </c>
      <c r="AW40" s="187">
        <f t="shared" si="143"/>
        <v>2043</v>
      </c>
      <c r="AX40" s="184">
        <f>'Scenario 69-19%'!C73</f>
        <v>4.7797635163004388</v>
      </c>
      <c r="AY40" s="184">
        <f>'Scenario 69-19%'!D73</f>
        <v>0.50239306827912533</v>
      </c>
      <c r="AZ40" s="184">
        <f>'Scenario 69-19%'!E73</f>
        <v>2.0478527703928308E-2</v>
      </c>
      <c r="BA40" s="184">
        <f>'Scenario 69-19%'!F73</f>
        <v>14.06700591181551</v>
      </c>
      <c r="BB40" s="184">
        <f>'Scenario 69-19%'!G73</f>
        <v>5.4268098415410018</v>
      </c>
      <c r="BC40" s="184">
        <f>'Scenario 69-19%'!H73</f>
        <v>20.746152872655298</v>
      </c>
      <c r="BD40" s="184"/>
      <c r="BE40" s="184"/>
      <c r="BF40" s="161">
        <f>'Scenario 69-19%'!U73</f>
        <v>-3.5274263970016513</v>
      </c>
      <c r="BG40" s="86"/>
      <c r="BH40" s="2"/>
      <c r="BI40" s="2"/>
      <c r="BJ40" s="2"/>
      <c r="BK40" s="2"/>
      <c r="BL40" s="2"/>
      <c r="BM40" s="2"/>
      <c r="BN40" s="2"/>
      <c r="BO40" s="2"/>
      <c r="BQ40" s="192">
        <f t="shared" si="145"/>
        <v>2043</v>
      </c>
      <c r="BR40" s="190">
        <f>WAM!C73</f>
        <v>28.122823485904956</v>
      </c>
      <c r="BS40" s="190">
        <f>WAM!D73</f>
        <v>0.5195613861832552</v>
      </c>
      <c r="BT40" s="190">
        <f>WAM!E73</f>
        <v>1.9163107394393294E-2</v>
      </c>
      <c r="BU40" s="190">
        <f>WAM!F73</f>
        <v>14.547718813131146</v>
      </c>
      <c r="BV40" s="190">
        <f>WAM!G73</f>
        <v>5.0782234595142226</v>
      </c>
      <c r="BW40" s="190">
        <f>WAM!H73</f>
        <v>44.447920509866073</v>
      </c>
      <c r="BX40" s="190"/>
      <c r="BY40" s="190"/>
      <c r="BZ40" s="189">
        <f>WAM!U73</f>
        <v>-3.3008452486842446</v>
      </c>
      <c r="CC40" s="2">
        <f>Y95</f>
        <v>963.48380373631983</v>
      </c>
      <c r="CD40" s="2">
        <f t="shared" ref="CD40" si="158">O95</f>
        <v>985.70866431217837</v>
      </c>
      <c r="CE40" s="2">
        <f>AI95</f>
        <v>998.50908030057781</v>
      </c>
      <c r="CF40" s="2">
        <f>AS95</f>
        <v>1011.0169879787909</v>
      </c>
      <c r="CG40" s="2">
        <f>BC95</f>
        <v>1015.6914017963642</v>
      </c>
      <c r="CH40" s="2">
        <f>BW95</f>
        <v>1576.3350557840386</v>
      </c>
      <c r="CI40" s="2"/>
      <c r="CJ40" s="2"/>
      <c r="CK40" s="2"/>
      <c r="CL40" s="2"/>
      <c r="CM40" s="2"/>
      <c r="CN40" s="2"/>
      <c r="CO40" s="2"/>
      <c r="CP40" s="2"/>
      <c r="CQ40" s="2"/>
      <c r="CS40" s="2"/>
      <c r="DL40" s="2">
        <f t="shared" si="75"/>
        <v>2049</v>
      </c>
      <c r="DM40">
        <f t="shared" si="76"/>
        <v>1.2567380324375299E-2</v>
      </c>
      <c r="DN40" s="2">
        <f t="shared" si="77"/>
        <v>1.5244999437454785E-2</v>
      </c>
      <c r="DO40">
        <f t="shared" si="78"/>
        <v>1.6948938873050819E-2</v>
      </c>
      <c r="DP40">
        <f t="shared" si="79"/>
        <v>1.8652878308646856E-2</v>
      </c>
      <c r="DQ40">
        <f t="shared" si="80"/>
        <v>2.0478527703928308E-2</v>
      </c>
      <c r="DR40" s="2">
        <f t="shared" si="81"/>
        <v>1.9163107394393294E-2</v>
      </c>
      <c r="DS40" s="86">
        <f t="shared" si="82"/>
        <v>2049</v>
      </c>
      <c r="DT40" s="2">
        <f t="shared" si="83"/>
        <v>-3.1638379966614814</v>
      </c>
      <c r="DU40" s="2">
        <f t="shared" si="84"/>
        <v>-3.8379286083792405</v>
      </c>
      <c r="DV40" s="2">
        <f t="shared" si="85"/>
        <v>-4.266895361290544</v>
      </c>
      <c r="DW40" s="2">
        <f t="shared" si="86"/>
        <v>-4.6958621142018462</v>
      </c>
      <c r="DX40" s="2">
        <f t="shared" si="87"/>
        <v>-5.1554693494639503</v>
      </c>
      <c r="DY40">
        <f t="shared" si="88"/>
        <v>-4.8243122865385129</v>
      </c>
      <c r="DZ40">
        <f t="shared" si="66"/>
        <v>2049</v>
      </c>
      <c r="EA40" s="2">
        <f t="shared" si="102"/>
        <v>-31.638379966614824</v>
      </c>
      <c r="EB40" s="2">
        <f t="shared" si="89"/>
        <v>-38.379286083792408</v>
      </c>
      <c r="EC40" s="2">
        <f t="shared" si="90"/>
        <v>-42.668953612905433</v>
      </c>
      <c r="ED40" s="2">
        <f t="shared" si="91"/>
        <v>-46.958621142018458</v>
      </c>
      <c r="EE40" s="2">
        <f t="shared" si="92"/>
        <v>-51.554693494639515</v>
      </c>
      <c r="EF40" s="2">
        <f t="shared" si="92"/>
        <v>-48.243122865385118</v>
      </c>
      <c r="EG40">
        <f t="shared" si="67"/>
        <v>2049</v>
      </c>
      <c r="EH40" s="1">
        <f t="shared" si="93"/>
        <v>-1.4237270984976671E-2</v>
      </c>
      <c r="EI40" s="1">
        <f t="shared" si="94"/>
        <v>-1.7270678737706584E-2</v>
      </c>
      <c r="EJ40" s="1">
        <f t="shared" si="95"/>
        <v>-1.9201029125807446E-2</v>
      </c>
      <c r="EK40" s="1">
        <f t="shared" si="103"/>
        <v>-2.1131379513908307E-2</v>
      </c>
      <c r="EL40" s="1">
        <f t="shared" si="103"/>
        <v>-2.3199612072587781E-2</v>
      </c>
      <c r="EP40">
        <f t="shared" si="146"/>
        <v>2043</v>
      </c>
      <c r="EQ40" s="131">
        <f t="shared" si="147"/>
        <v>17.28156736184598</v>
      </c>
      <c r="ER40" s="131">
        <f t="shared" si="148"/>
        <v>18.552281386412805</v>
      </c>
      <c r="ES40" s="131">
        <f t="shared" si="149"/>
        <v>19.335605276406699</v>
      </c>
      <c r="ET40" s="131">
        <f t="shared" si="150"/>
        <v>20.118588474525172</v>
      </c>
      <c r="EU40" s="131">
        <f t="shared" si="151"/>
        <v>44.447920509866073</v>
      </c>
      <c r="EV40" s="2">
        <f t="shared" si="152"/>
        <v>18.822010624797663</v>
      </c>
      <c r="EW40" s="3">
        <f t="shared" si="153"/>
        <v>0.34956629689147523</v>
      </c>
      <c r="EX40" s="3">
        <f t="shared" si="153"/>
        <v>0.72446610095068698</v>
      </c>
    </row>
    <row r="41" spans="1:154" x14ac:dyDescent="0.35">
      <c r="A41">
        <f t="shared" si="133"/>
        <v>2044</v>
      </c>
      <c r="B41" s="162">
        <f t="shared" si="134"/>
        <v>16.03509881542897</v>
      </c>
      <c r="C41" s="79">
        <f t="shared" si="135"/>
        <v>17.390734582085255</v>
      </c>
      <c r="D41" s="173">
        <f t="shared" si="136"/>
        <v>18.23171562460406</v>
      </c>
      <c r="E41" s="179">
        <f t="shared" si="137"/>
        <v>19.072404645515388</v>
      </c>
      <c r="F41" s="184">
        <f t="shared" si="138"/>
        <v>19.791989021106755</v>
      </c>
      <c r="G41" s="2">
        <f t="shared" si="139"/>
        <v>18.104388537748086</v>
      </c>
      <c r="I41" s="158">
        <f>'Scenario 57-40%'!B74</f>
        <v>2044</v>
      </c>
      <c r="J41" s="79">
        <f>'Scenario 57-40%'!C74</f>
        <v>5.7573033706876462</v>
      </c>
      <c r="K41" s="79">
        <f>'Scenario 57-40%'!D74</f>
        <v>0.37219477700428399</v>
      </c>
      <c r="L41" s="79">
        <f>'Scenario 57-40%'!E74</f>
        <v>1.5244999437454785E-2</v>
      </c>
      <c r="M41" s="79">
        <f>'Scenario 57-40%'!F74</f>
        <v>10.421453756119952</v>
      </c>
      <c r="N41" s="79">
        <f>'Scenario 57-40%'!G74</f>
        <v>4.0399248509255177</v>
      </c>
      <c r="O41" s="79">
        <f>'Scenario 57-40%'!H74</f>
        <v>17.390734582085255</v>
      </c>
      <c r="P41" s="79"/>
      <c r="Q41" s="79"/>
      <c r="R41" s="79">
        <f>'Scenario 57-40%'!U74</f>
        <v>-2.8279473956478616</v>
      </c>
      <c r="S41" s="157">
        <f t="shared" si="140"/>
        <v>2044</v>
      </c>
      <c r="T41" s="162">
        <f>'Scenario 51-51%'!C74</f>
        <v>6.4797045427142566</v>
      </c>
      <c r="U41" s="162">
        <f>'Scenario 51-51%'!D74</f>
        <v>0.30558169774738841</v>
      </c>
      <c r="V41" s="162">
        <f>'Scenario 51-51%'!E74</f>
        <v>1.2567380324375299E-2</v>
      </c>
      <c r="W41" s="162">
        <f>'Scenario 51-51%'!F74</f>
        <v>8.5562875369268756</v>
      </c>
      <c r="X41" s="162">
        <f>'Scenario 51-51%'!G74</f>
        <v>3.3303557859594544</v>
      </c>
      <c r="Y41" s="162">
        <f>'Scenario 51-51%'!H74</f>
        <v>16.03509881542897</v>
      </c>
      <c r="Z41" s="162"/>
      <c r="AA41" s="162"/>
      <c r="AB41" s="157">
        <f>'Scenario 51-51%'!U74</f>
        <v>-2.3312490501716185</v>
      </c>
      <c r="AC41" s="177">
        <f t="shared" si="141"/>
        <v>2044</v>
      </c>
      <c r="AD41" s="173">
        <f>'Scenario 61-33%'!C74</f>
        <v>5.275897270408251</v>
      </c>
      <c r="AE41" s="173">
        <f>'Scenario 61-33%'!D74</f>
        <v>0.41458491834958111</v>
      </c>
      <c r="AF41" s="178">
        <f>'Scenario 61-33%'!E74</f>
        <v>1.6948938873050819E-2</v>
      </c>
      <c r="AG41" s="173">
        <f>'Scenario 61-33%'!F74</f>
        <v>11.608377713788272</v>
      </c>
      <c r="AH41" s="173">
        <f>'Scenario 61-33%'!G74</f>
        <v>4.4914688013584669</v>
      </c>
      <c r="AI41" s="173">
        <f>'Scenario 61-33%'!H74</f>
        <v>18.23171562460406</v>
      </c>
      <c r="AJ41" s="173"/>
      <c r="AK41" s="173"/>
      <c r="AL41" s="159">
        <f>'Scenario 61-33%'!U74</f>
        <v>-3.1440281609509269</v>
      </c>
      <c r="AM41" s="182">
        <f t="shared" si="142"/>
        <v>2044</v>
      </c>
      <c r="AN41" s="179">
        <f>'Scenario 65-25%'!C74</f>
        <v>4.7941991485213613</v>
      </c>
      <c r="AO41" s="179">
        <f>'Scenario 65-25%'!D74</f>
        <v>0.45697505969487856</v>
      </c>
      <c r="AP41" s="179">
        <f>'Scenario 65-25%'!E74</f>
        <v>1.8652878308646856E-2</v>
      </c>
      <c r="AQ41" s="179">
        <f>'Scenario 65-25%'!F74</f>
        <v>12.795301671456599</v>
      </c>
      <c r="AR41" s="179">
        <f>'Scenario 65-25%'!G74</f>
        <v>4.9430127517914171</v>
      </c>
      <c r="AS41" s="179">
        <f>'Scenario 65-25%'!H74</f>
        <v>19.072404645515388</v>
      </c>
      <c r="AT41" s="179"/>
      <c r="AU41" s="179"/>
      <c r="AV41" s="160">
        <f>'Scenario 65-25%'!U74</f>
        <v>-3.4601089262539921</v>
      </c>
      <c r="AW41" s="187">
        <f t="shared" si="143"/>
        <v>2044</v>
      </c>
      <c r="AX41" s="184">
        <f>'Scenario 69-19%'!C74</f>
        <v>4.0969401568289481</v>
      </c>
      <c r="AY41" s="184">
        <f>'Scenario 69-19%'!D74</f>
        <v>0.50239306827912533</v>
      </c>
      <c r="AZ41" s="184">
        <f>'Scenario 69-19%'!E74</f>
        <v>2.0478527703928308E-2</v>
      </c>
      <c r="BA41" s="184">
        <f>'Scenario 69-19%'!F74</f>
        <v>14.06700591181551</v>
      </c>
      <c r="BB41" s="184">
        <f>'Scenario 69-19%'!G74</f>
        <v>5.4268098415410018</v>
      </c>
      <c r="BC41" s="184">
        <f>'Scenario 69-19%'!H74</f>
        <v>19.791989021106755</v>
      </c>
      <c r="BD41" s="184"/>
      <c r="BE41" s="184"/>
      <c r="BF41" s="161">
        <f>'Scenario 69-19%'!U74</f>
        <v>-3.7987668890787014</v>
      </c>
      <c r="BG41" s="86"/>
      <c r="BH41" s="2"/>
      <c r="BI41" s="2"/>
      <c r="BJ41" s="2"/>
      <c r="BK41" s="2"/>
      <c r="BL41" s="2"/>
      <c r="BM41" s="2"/>
      <c r="BN41" s="2"/>
      <c r="BO41" s="2"/>
      <c r="BQ41" s="192">
        <f t="shared" si="145"/>
        <v>2044</v>
      </c>
      <c r="BR41" s="190">
        <f>WAM!C74</f>
        <v>24.105277273632819</v>
      </c>
      <c r="BS41" s="190">
        <f>WAM!D74</f>
        <v>0.5195613861832552</v>
      </c>
      <c r="BT41" s="190">
        <f>WAM!E74</f>
        <v>1.9163107394393294E-2</v>
      </c>
      <c r="BU41" s="190">
        <f>WAM!F74</f>
        <v>14.547718813131146</v>
      </c>
      <c r="BV41" s="190">
        <f>WAM!G74</f>
        <v>5.0782234595142226</v>
      </c>
      <c r="BW41" s="190">
        <f>WAM!H74</f>
        <v>40.17646312461823</v>
      </c>
      <c r="BX41" s="190"/>
      <c r="BY41" s="190"/>
      <c r="BZ41" s="189">
        <f>WAM!U74</f>
        <v>-3.5547564216599556</v>
      </c>
      <c r="DL41" s="2">
        <f t="shared" si="75"/>
        <v>2050</v>
      </c>
      <c r="DM41">
        <f t="shared" si="76"/>
        <v>1.2567380324375299E-2</v>
      </c>
      <c r="DN41" s="2">
        <f t="shared" si="77"/>
        <v>1.5244999437454785E-2</v>
      </c>
      <c r="DO41">
        <f t="shared" si="78"/>
        <v>1.6948938873050819E-2</v>
      </c>
      <c r="DP41">
        <f t="shared" si="79"/>
        <v>1.8652878308646856E-2</v>
      </c>
      <c r="DQ41">
        <f t="shared" si="80"/>
        <v>2.0478527703928308E-2</v>
      </c>
      <c r="DR41" s="2">
        <f t="shared" si="81"/>
        <v>1.9163107394393294E-2</v>
      </c>
      <c r="DS41" s="86">
        <f t="shared" si="82"/>
        <v>2050</v>
      </c>
      <c r="DT41" s="2">
        <f t="shared" si="83"/>
        <v>-3.3303557859594539</v>
      </c>
      <c r="DU41" s="2">
        <f t="shared" si="84"/>
        <v>-4.0399248509255168</v>
      </c>
      <c r="DV41" s="2">
        <f t="shared" si="85"/>
        <v>-4.4914688013584669</v>
      </c>
      <c r="DW41" s="2">
        <f t="shared" si="86"/>
        <v>-4.9430127517914171</v>
      </c>
      <c r="DX41" s="2">
        <f t="shared" si="87"/>
        <v>-5.426809841541</v>
      </c>
      <c r="DY41">
        <f t="shared" si="88"/>
        <v>-5.0782234595142244</v>
      </c>
      <c r="DZ41">
        <f t="shared" si="66"/>
        <v>2050</v>
      </c>
      <c r="EA41" s="2">
        <f t="shared" si="102"/>
        <v>-34.968735752574275</v>
      </c>
      <c r="EB41" s="2">
        <f t="shared" si="89"/>
        <v>-42.419210934717924</v>
      </c>
      <c r="EC41" s="2">
        <f t="shared" si="90"/>
        <v>-47.160422414263898</v>
      </c>
      <c r="ED41" s="2">
        <f t="shared" si="91"/>
        <v>-51.901633893809873</v>
      </c>
      <c r="EE41" s="2">
        <f t="shared" si="92"/>
        <v>-56.981503336180516</v>
      </c>
      <c r="EF41" s="2">
        <f t="shared" si="92"/>
        <v>-53.321346324899345</v>
      </c>
      <c r="EG41">
        <f t="shared" si="67"/>
        <v>2050</v>
      </c>
      <c r="EH41" s="1">
        <f t="shared" si="93"/>
        <v>-1.5735931088658422E-2</v>
      </c>
      <c r="EI41" s="1">
        <f t="shared" si="94"/>
        <v>-1.9088644920623066E-2</v>
      </c>
      <c r="EJ41" s="1">
        <f t="shared" si="95"/>
        <v>-2.1222190086418753E-2</v>
      </c>
      <c r="EK41" s="1">
        <f t="shared" si="103"/>
        <v>-2.3355735252214443E-2</v>
      </c>
      <c r="EL41" s="1">
        <f t="shared" si="103"/>
        <v>-2.564167650128123E-2</v>
      </c>
      <c r="EP41">
        <f t="shared" si="146"/>
        <v>2044</v>
      </c>
      <c r="EQ41" s="131">
        <f t="shared" si="147"/>
        <v>16.03509881542897</v>
      </c>
      <c r="ER41" s="131">
        <f t="shared" si="148"/>
        <v>17.390734582085255</v>
      </c>
      <c r="ES41" s="131">
        <f t="shared" si="149"/>
        <v>18.23171562460406</v>
      </c>
      <c r="ET41" s="131">
        <f t="shared" si="150"/>
        <v>19.072404645515388</v>
      </c>
      <c r="EU41" s="131">
        <f t="shared" si="151"/>
        <v>40.17646312461823</v>
      </c>
      <c r="EV41" s="2">
        <f t="shared" si="152"/>
        <v>17.68248841690842</v>
      </c>
      <c r="EW41" s="3">
        <f t="shared" si="153"/>
        <v>0.41207315464515382</v>
      </c>
      <c r="EX41" s="3">
        <f t="shared" si="153"/>
        <v>0.74114747486189625</v>
      </c>
    </row>
    <row r="42" spans="1:154" x14ac:dyDescent="0.35">
      <c r="A42">
        <f t="shared" si="133"/>
        <v>2045</v>
      </c>
      <c r="B42" s="162">
        <f t="shared" si="134"/>
        <v>14.788630269011946</v>
      </c>
      <c r="C42" s="79">
        <f t="shared" si="135"/>
        <v>16.229187777757708</v>
      </c>
      <c r="D42" s="173">
        <f t="shared" si="136"/>
        <v>17.127825972801443</v>
      </c>
      <c r="E42" s="179">
        <f t="shared" si="137"/>
        <v>18.026220816505582</v>
      </c>
      <c r="F42" s="184">
        <f t="shared" si="138"/>
        <v>18.837825169558219</v>
      </c>
      <c r="G42" s="2">
        <f t="shared" si="139"/>
        <v>17.00193800112698</v>
      </c>
      <c r="I42" s="158">
        <f>'Scenario 57-40%'!B75</f>
        <v>2045</v>
      </c>
      <c r="J42" s="79">
        <f>'Scenario 57-40%'!C75</f>
        <v>4.7977528089063748</v>
      </c>
      <c r="K42" s="79">
        <f>'Scenario 57-40%'!D75</f>
        <v>0.37219477700428399</v>
      </c>
      <c r="L42" s="79">
        <f>'Scenario 57-40%'!E75</f>
        <v>1.5244999437454785E-2</v>
      </c>
      <c r="M42" s="79">
        <f>'Scenario 57-40%'!F75</f>
        <v>10.421453756119952</v>
      </c>
      <c r="N42" s="79">
        <f>'Scenario 57-40%'!G75</f>
        <v>4.0399248509255177</v>
      </c>
      <c r="O42" s="79">
        <f>'Scenario 57-40%'!H75</f>
        <v>16.229187777757708</v>
      </c>
      <c r="P42" s="79"/>
      <c r="Q42" s="79"/>
      <c r="R42" s="79">
        <f>'Scenario 57-40%'!U75</f>
        <v>-3.0299436381941374</v>
      </c>
      <c r="S42" s="157">
        <f t="shared" si="140"/>
        <v>2045</v>
      </c>
      <c r="T42" s="162">
        <f>'Scenario 51-51%'!C75</f>
        <v>5.399753785595208</v>
      </c>
      <c r="U42" s="162">
        <f>'Scenario 51-51%'!D75</f>
        <v>0.30558169774738841</v>
      </c>
      <c r="V42" s="162">
        <f>'Scenario 51-51%'!E75</f>
        <v>1.2567380324375299E-2</v>
      </c>
      <c r="W42" s="162">
        <f>'Scenario 51-51%'!F75</f>
        <v>8.5562875369268756</v>
      </c>
      <c r="X42" s="162">
        <f>'Scenario 51-51%'!G75</f>
        <v>3.3303557859594544</v>
      </c>
      <c r="Y42" s="162">
        <f>'Scenario 51-51%'!H75</f>
        <v>14.788630269011946</v>
      </c>
      <c r="Z42" s="162"/>
      <c r="AA42" s="162"/>
      <c r="AB42" s="157">
        <f>'Scenario 51-51%'!U75</f>
        <v>-2.4977668394695911</v>
      </c>
      <c r="AC42" s="177">
        <f t="shared" si="141"/>
        <v>2045</v>
      </c>
      <c r="AD42" s="173">
        <f>'Scenario 61-33%'!C75</f>
        <v>4.3965810586735552</v>
      </c>
      <c r="AE42" s="173">
        <f>'Scenario 61-33%'!D75</f>
        <v>0.41458491834958111</v>
      </c>
      <c r="AF42" s="178">
        <f>'Scenario 61-33%'!E75</f>
        <v>1.6948938873050819E-2</v>
      </c>
      <c r="AG42" s="173">
        <f>'Scenario 61-33%'!F75</f>
        <v>11.608377713788272</v>
      </c>
      <c r="AH42" s="173">
        <f>'Scenario 61-33%'!G75</f>
        <v>4.4914688013584669</v>
      </c>
      <c r="AI42" s="173">
        <f>'Scenario 61-33%'!H75</f>
        <v>17.127825972801443</v>
      </c>
      <c r="AJ42" s="173"/>
      <c r="AK42" s="173"/>
      <c r="AL42" s="159">
        <f>'Scenario 61-33%'!U75</f>
        <v>-3.3686016010188502</v>
      </c>
      <c r="AM42" s="182">
        <f t="shared" si="142"/>
        <v>2045</v>
      </c>
      <c r="AN42" s="179">
        <f>'Scenario 65-25%'!C75</f>
        <v>3.9951659571011287</v>
      </c>
      <c r="AO42" s="179">
        <f>'Scenario 65-25%'!D75</f>
        <v>0.45697505969487856</v>
      </c>
      <c r="AP42" s="179">
        <f>'Scenario 65-25%'!E75</f>
        <v>1.8652878308646856E-2</v>
      </c>
      <c r="AQ42" s="179">
        <f>'Scenario 65-25%'!F75</f>
        <v>12.795301671456599</v>
      </c>
      <c r="AR42" s="179">
        <f>'Scenario 65-25%'!G75</f>
        <v>4.9430127517914171</v>
      </c>
      <c r="AS42" s="179">
        <f>'Scenario 65-25%'!H75</f>
        <v>18.026220816505582</v>
      </c>
      <c r="AT42" s="179"/>
      <c r="AU42" s="179"/>
      <c r="AV42" s="160">
        <f>'Scenario 65-25%'!U75</f>
        <v>-3.707259563843563</v>
      </c>
      <c r="AW42" s="187">
        <f t="shared" si="143"/>
        <v>2045</v>
      </c>
      <c r="AX42" s="184">
        <f>'Scenario 69-19%'!C75</f>
        <v>3.4141167973574573</v>
      </c>
      <c r="AY42" s="184">
        <f>'Scenario 69-19%'!D75</f>
        <v>0.50239306827912533</v>
      </c>
      <c r="AZ42" s="184">
        <f>'Scenario 69-19%'!E75</f>
        <v>2.0478527703928308E-2</v>
      </c>
      <c r="BA42" s="184">
        <f>'Scenario 69-19%'!F75</f>
        <v>14.06700591181551</v>
      </c>
      <c r="BB42" s="184">
        <f>'Scenario 69-19%'!G75</f>
        <v>5.4268098415410018</v>
      </c>
      <c r="BC42" s="184">
        <f>'Scenario 69-19%'!H75</f>
        <v>18.837825169558219</v>
      </c>
      <c r="BD42" s="184"/>
      <c r="BE42" s="184"/>
      <c r="BF42" s="161">
        <f>'Scenario 69-19%'!U75</f>
        <v>-4.0701073811557515</v>
      </c>
      <c r="BG42" s="86"/>
      <c r="BH42" s="2"/>
      <c r="BI42" s="2"/>
      <c r="BJ42" s="2"/>
      <c r="BK42" s="2"/>
      <c r="BL42" s="2"/>
      <c r="BM42" s="2"/>
      <c r="BN42" s="2"/>
      <c r="BO42" s="2"/>
      <c r="BQ42" s="192">
        <f t="shared" si="145"/>
        <v>2045</v>
      </c>
      <c r="BR42" s="190">
        <f>WAM!C75</f>
        <v>20.087731061360682</v>
      </c>
      <c r="BS42" s="190">
        <f>WAM!D75</f>
        <v>0.5195613861832552</v>
      </c>
      <c r="BT42" s="190">
        <f>WAM!E75</f>
        <v>1.9163107394393294E-2</v>
      </c>
      <c r="BU42" s="190">
        <f>WAM!F75</f>
        <v>14.547718813131146</v>
      </c>
      <c r="BV42" s="190">
        <f>WAM!G75</f>
        <v>5.0782234595142226</v>
      </c>
      <c r="BW42" s="190">
        <f>WAM!H75</f>
        <v>35.905005739370381</v>
      </c>
      <c r="BX42" s="190"/>
      <c r="BY42" s="190"/>
      <c r="BZ42" s="189">
        <f>WAM!U75</f>
        <v>-3.8086675946356667</v>
      </c>
      <c r="DL42" s="2">
        <f t="shared" ref="DL42:DL51" si="159">I48</f>
        <v>2051</v>
      </c>
      <c r="DM42">
        <f t="shared" ref="DM42:DM51" si="160">V48</f>
        <v>1.2567380324375299E-2</v>
      </c>
      <c r="DN42" s="2">
        <f t="shared" ref="DN42:DN51" si="161">L48</f>
        <v>1.5244999437454785E-2</v>
      </c>
      <c r="DO42">
        <f t="shared" ref="DO42:DO51" si="162">AF48</f>
        <v>1.6948938873050819E-2</v>
      </c>
      <c r="DP42">
        <f t="shared" ref="DP42:DP51" si="163">AP48</f>
        <v>1.8652878308646856E-2</v>
      </c>
      <c r="DQ42">
        <f t="shared" ref="DQ42:DQ51" si="164">AZ48</f>
        <v>2.0478527703928308E-2</v>
      </c>
      <c r="DR42" s="2">
        <f t="shared" si="81"/>
        <v>1.9163107394393294E-2</v>
      </c>
      <c r="DS42" s="86">
        <f t="shared" ref="DS42:DS51" si="165">DL42</f>
        <v>2051</v>
      </c>
      <c r="DT42" s="2">
        <f t="shared" ref="DT42:DT51" si="166">AB48</f>
        <v>-3.3303557859594539</v>
      </c>
      <c r="DU42" s="2">
        <f t="shared" ref="DU42:DU51" si="167">R48</f>
        <v>-4.0399248509255168</v>
      </c>
      <c r="DV42" s="2">
        <f t="shared" ref="DV42:DV51" si="168">AL48</f>
        <v>-4.4914688013584669</v>
      </c>
      <c r="DW42" s="2">
        <f t="shared" ref="DW42:DW51" si="169">AV48</f>
        <v>-4.9430127517914171</v>
      </c>
      <c r="DX42" s="2">
        <f t="shared" ref="DX42:DX51" si="170">BF48</f>
        <v>-5.426809841541</v>
      </c>
      <c r="DY42">
        <f t="shared" si="88"/>
        <v>-5.0782234595142244</v>
      </c>
      <c r="DZ42">
        <f t="shared" ref="DZ42:DZ51" si="171">DS42</f>
        <v>2051</v>
      </c>
      <c r="EA42" s="2">
        <f t="shared" ref="EA42:EA51" si="172">DT42+EA41</f>
        <v>-38.29909153853373</v>
      </c>
      <c r="EB42" s="2">
        <f t="shared" ref="EB42:EB51" si="173">DU42+EB41</f>
        <v>-46.45913578564344</v>
      </c>
      <c r="EC42" s="2">
        <f t="shared" ref="EC42:EC51" si="174">DV42+EC41</f>
        <v>-51.651891215622364</v>
      </c>
      <c r="ED42" s="2">
        <f t="shared" ref="ED42:ED51" si="175">DW42+ED41</f>
        <v>-56.844646645601287</v>
      </c>
      <c r="EE42" s="2">
        <f t="shared" ref="EE42:EF51" si="176">DX42+EE41</f>
        <v>-62.408313177721517</v>
      </c>
      <c r="EF42" s="2">
        <f t="shared" si="176"/>
        <v>-58.399569784413572</v>
      </c>
      <c r="EG42">
        <f t="shared" si="67"/>
        <v>2051</v>
      </c>
      <c r="EH42" s="1">
        <f t="shared" si="93"/>
        <v>-1.7234591192340179E-2</v>
      </c>
      <c r="EI42" s="1">
        <f t="shared" si="94"/>
        <v>-2.0906611103539547E-2</v>
      </c>
      <c r="EJ42" s="1">
        <f t="shared" si="95"/>
        <v>-2.3243351047030063E-2</v>
      </c>
      <c r="EK42" s="1">
        <f t="shared" si="103"/>
        <v>-2.5580090990520579E-2</v>
      </c>
      <c r="EL42" s="1">
        <f t="shared" si="103"/>
        <v>-2.8083740929974683E-2</v>
      </c>
      <c r="EP42">
        <f t="shared" si="146"/>
        <v>2045</v>
      </c>
      <c r="EQ42" s="131">
        <f t="shared" si="147"/>
        <v>14.788630269011946</v>
      </c>
      <c r="ER42" s="131">
        <f t="shared" si="148"/>
        <v>16.229187777757708</v>
      </c>
      <c r="ES42" s="131">
        <f t="shared" si="149"/>
        <v>17.127825972801443</v>
      </c>
      <c r="ET42" s="131">
        <f t="shared" si="150"/>
        <v>18.026220816505582</v>
      </c>
      <c r="EU42" s="131">
        <f t="shared" si="151"/>
        <v>35.905005739370381</v>
      </c>
      <c r="EV42" s="2">
        <f t="shared" si="152"/>
        <v>16.54296620901917</v>
      </c>
      <c r="EW42" s="3">
        <f t="shared" si="153"/>
        <v>0.47458001239883241</v>
      </c>
      <c r="EX42" s="3">
        <f t="shared" si="153"/>
        <v>0.75782884877310575</v>
      </c>
    </row>
    <row r="43" spans="1:154" x14ac:dyDescent="0.35">
      <c r="A43">
        <f t="shared" si="133"/>
        <v>2046</v>
      </c>
      <c r="B43" s="162">
        <f t="shared" si="134"/>
        <v>13.542161722594944</v>
      </c>
      <c r="C43" s="79">
        <f t="shared" si="135"/>
        <v>15.067640973430162</v>
      </c>
      <c r="D43" s="173">
        <f t="shared" si="136"/>
        <v>16.023936320998796</v>
      </c>
      <c r="E43" s="179">
        <f t="shared" si="137"/>
        <v>16.980036987495779</v>
      </c>
      <c r="F43" s="184">
        <f t="shared" si="138"/>
        <v>17.883661318009676</v>
      </c>
      <c r="G43" s="2">
        <f t="shared" si="139"/>
        <v>15.899487464505871</v>
      </c>
      <c r="I43" s="158">
        <f>'Scenario 57-40%'!B76</f>
        <v>2046</v>
      </c>
      <c r="J43" s="79">
        <f>'Scenario 57-40%'!C76</f>
        <v>3.8382022471251056</v>
      </c>
      <c r="K43" s="79">
        <f>'Scenario 57-40%'!D76</f>
        <v>0.37219477700428399</v>
      </c>
      <c r="L43" s="79">
        <f>'Scenario 57-40%'!E76</f>
        <v>1.5244999437454785E-2</v>
      </c>
      <c r="M43" s="79">
        <f>'Scenario 57-40%'!F76</f>
        <v>10.421453756119952</v>
      </c>
      <c r="N43" s="79">
        <f>'Scenario 57-40%'!G76</f>
        <v>4.0399248509255177</v>
      </c>
      <c r="O43" s="79">
        <f>'Scenario 57-40%'!H76</f>
        <v>15.067640973430162</v>
      </c>
      <c r="P43" s="79"/>
      <c r="Q43" s="79"/>
      <c r="R43" s="79">
        <f>'Scenario 57-40%'!U76</f>
        <v>-3.2319398807404132</v>
      </c>
      <c r="S43" s="157">
        <f t="shared" si="140"/>
        <v>2046</v>
      </c>
      <c r="T43" s="162">
        <f>'Scenario 51-51%'!C76</f>
        <v>4.3198030284761781</v>
      </c>
      <c r="U43" s="162">
        <f>'Scenario 51-51%'!D76</f>
        <v>0.30558169774738841</v>
      </c>
      <c r="V43" s="162">
        <f>'Scenario 51-51%'!E76</f>
        <v>1.2567380324375299E-2</v>
      </c>
      <c r="W43" s="162">
        <f>'Scenario 51-51%'!F76</f>
        <v>8.5562875369268756</v>
      </c>
      <c r="X43" s="162">
        <f>'Scenario 51-51%'!G76</f>
        <v>3.3303557859594544</v>
      </c>
      <c r="Y43" s="162">
        <f>'Scenario 51-51%'!H76</f>
        <v>13.542161722594944</v>
      </c>
      <c r="Z43" s="162"/>
      <c r="AA43" s="162"/>
      <c r="AB43" s="157">
        <f>'Scenario 51-51%'!U76</f>
        <v>-2.6642846287675637</v>
      </c>
      <c r="AC43" s="177">
        <f t="shared" si="141"/>
        <v>2046</v>
      </c>
      <c r="AD43" s="173">
        <f>'Scenario 61-33%'!C76</f>
        <v>3.5172648469388332</v>
      </c>
      <c r="AE43" s="173">
        <f>'Scenario 61-33%'!D76</f>
        <v>0.41458491834958111</v>
      </c>
      <c r="AF43" s="178">
        <f>'Scenario 61-33%'!E76</f>
        <v>1.6948938873050819E-2</v>
      </c>
      <c r="AG43" s="173">
        <f>'Scenario 61-33%'!F76</f>
        <v>11.608377713788272</v>
      </c>
      <c r="AH43" s="173">
        <f>'Scenario 61-33%'!G76</f>
        <v>4.4914688013584669</v>
      </c>
      <c r="AI43" s="173">
        <f>'Scenario 61-33%'!H76</f>
        <v>16.023936320998796</v>
      </c>
      <c r="AJ43" s="173"/>
      <c r="AK43" s="173"/>
      <c r="AL43" s="159">
        <f>'Scenario 61-33%'!U76</f>
        <v>-3.5931750410867735</v>
      </c>
      <c r="AM43" s="182">
        <f t="shared" si="142"/>
        <v>2046</v>
      </c>
      <c r="AN43" s="179">
        <f>'Scenario 65-25%'!C76</f>
        <v>3.1961327656808964</v>
      </c>
      <c r="AO43" s="179">
        <f>'Scenario 65-25%'!D76</f>
        <v>0.45697505969487856</v>
      </c>
      <c r="AP43" s="179">
        <f>'Scenario 65-25%'!E76</f>
        <v>1.8652878308646856E-2</v>
      </c>
      <c r="AQ43" s="179">
        <f>'Scenario 65-25%'!F76</f>
        <v>12.795301671456599</v>
      </c>
      <c r="AR43" s="179">
        <f>'Scenario 65-25%'!G76</f>
        <v>4.9430127517914171</v>
      </c>
      <c r="AS43" s="179">
        <f>'Scenario 65-25%'!H76</f>
        <v>16.980036987495779</v>
      </c>
      <c r="AT43" s="179"/>
      <c r="AU43" s="179"/>
      <c r="AV43" s="160">
        <f>'Scenario 65-25%'!U76</f>
        <v>-3.9544102014331339</v>
      </c>
      <c r="AW43" s="187">
        <f t="shared" si="143"/>
        <v>2046</v>
      </c>
      <c r="AX43" s="184">
        <f>'Scenario 69-19%'!C76</f>
        <v>2.7312934378859666</v>
      </c>
      <c r="AY43" s="184">
        <f>'Scenario 69-19%'!D76</f>
        <v>0.50239306827912533</v>
      </c>
      <c r="AZ43" s="184">
        <f>'Scenario 69-19%'!E76</f>
        <v>2.0478527703928308E-2</v>
      </c>
      <c r="BA43" s="184">
        <f>'Scenario 69-19%'!F76</f>
        <v>14.06700591181551</v>
      </c>
      <c r="BB43" s="184">
        <f>'Scenario 69-19%'!G76</f>
        <v>5.4268098415410018</v>
      </c>
      <c r="BC43" s="184">
        <f>'Scenario 69-19%'!H76</f>
        <v>17.883661318009676</v>
      </c>
      <c r="BD43" s="184"/>
      <c r="BE43" s="184"/>
      <c r="BF43" s="161">
        <f>'Scenario 69-19%'!U76</f>
        <v>-4.3414478732328012</v>
      </c>
      <c r="BG43" s="86"/>
      <c r="BH43" s="2"/>
      <c r="BI43" s="2"/>
      <c r="BJ43" s="2"/>
      <c r="BK43" s="2"/>
      <c r="BL43" s="2"/>
      <c r="BM43" s="2"/>
      <c r="BN43" s="2"/>
      <c r="BO43" s="2"/>
      <c r="BQ43" s="192">
        <f t="shared" si="145"/>
        <v>2046</v>
      </c>
      <c r="BR43" s="190">
        <f>WAM!C76</f>
        <v>16.070184849088545</v>
      </c>
      <c r="BS43" s="190">
        <f>WAM!D76</f>
        <v>0.5195613861832552</v>
      </c>
      <c r="BT43" s="190">
        <f>WAM!E76</f>
        <v>1.9163107394393294E-2</v>
      </c>
      <c r="BU43" s="190">
        <f>WAM!F76</f>
        <v>14.547718813131146</v>
      </c>
      <c r="BV43" s="190">
        <f>WAM!G76</f>
        <v>5.0782234595142226</v>
      </c>
      <c r="BW43" s="190">
        <f>WAM!H76</f>
        <v>31.633548354122532</v>
      </c>
      <c r="BX43" s="190"/>
      <c r="BY43" s="190"/>
      <c r="BZ43" s="189">
        <f>WAM!U76</f>
        <v>-4.0625787676113783</v>
      </c>
      <c r="DL43" s="2">
        <f t="shared" si="159"/>
        <v>2052</v>
      </c>
      <c r="DM43">
        <f t="shared" si="160"/>
        <v>1.2567380324375299E-2</v>
      </c>
      <c r="DN43" s="2">
        <f t="shared" si="161"/>
        <v>1.5244999437454785E-2</v>
      </c>
      <c r="DO43">
        <f t="shared" si="162"/>
        <v>1.6948938873050819E-2</v>
      </c>
      <c r="DP43">
        <f t="shared" si="163"/>
        <v>1.8652878308646856E-2</v>
      </c>
      <c r="DQ43">
        <f t="shared" si="164"/>
        <v>2.0478527703928308E-2</v>
      </c>
      <c r="DR43" s="2">
        <f t="shared" si="81"/>
        <v>1.9163107394393294E-2</v>
      </c>
      <c r="DS43" s="86">
        <f t="shared" si="165"/>
        <v>2052</v>
      </c>
      <c r="DT43" s="2">
        <f t="shared" si="166"/>
        <v>-3.3303557859594539</v>
      </c>
      <c r="DU43" s="2">
        <f t="shared" si="167"/>
        <v>-4.0399248509255168</v>
      </c>
      <c r="DV43" s="2">
        <f t="shared" si="168"/>
        <v>-4.4914688013584669</v>
      </c>
      <c r="DW43" s="2">
        <f t="shared" si="169"/>
        <v>-4.9430127517914171</v>
      </c>
      <c r="DX43" s="2">
        <f t="shared" si="170"/>
        <v>-5.426809841541</v>
      </c>
      <c r="DY43">
        <f t="shared" si="88"/>
        <v>-5.0782234595142244</v>
      </c>
      <c r="DZ43">
        <f t="shared" si="171"/>
        <v>2052</v>
      </c>
      <c r="EA43" s="2">
        <f t="shared" si="172"/>
        <v>-41.629447324493185</v>
      </c>
      <c r="EB43" s="2">
        <f t="shared" si="173"/>
        <v>-50.499060636568956</v>
      </c>
      <c r="EC43" s="2">
        <f t="shared" si="174"/>
        <v>-56.143360016980829</v>
      </c>
      <c r="ED43" s="2">
        <f t="shared" si="175"/>
        <v>-61.787659397392702</v>
      </c>
      <c r="EE43" s="2">
        <f t="shared" si="176"/>
        <v>-67.835123019262511</v>
      </c>
      <c r="EF43" s="2">
        <f t="shared" si="176"/>
        <v>-63.477793243927799</v>
      </c>
      <c r="EG43">
        <f t="shared" si="67"/>
        <v>2052</v>
      </c>
      <c r="EH43" s="1">
        <f t="shared" si="93"/>
        <v>-1.8733251296021932E-2</v>
      </c>
      <c r="EI43" s="1">
        <f t="shared" si="94"/>
        <v>-2.2724577286456028E-2</v>
      </c>
      <c r="EJ43" s="1">
        <f t="shared" si="95"/>
        <v>-2.5264512007641373E-2</v>
      </c>
      <c r="EK43" s="1">
        <f t="shared" si="103"/>
        <v>-2.7804446728826714E-2</v>
      </c>
      <c r="EL43" s="1">
        <f t="shared" si="103"/>
        <v>-3.052580535866813E-2</v>
      </c>
      <c r="EP43">
        <f t="shared" si="146"/>
        <v>2046</v>
      </c>
      <c r="EQ43" s="131">
        <f t="shared" si="147"/>
        <v>13.542161722594944</v>
      </c>
      <c r="ER43" s="131">
        <f t="shared" si="148"/>
        <v>15.067640973430162</v>
      </c>
      <c r="ES43" s="131">
        <f t="shared" si="149"/>
        <v>16.023936320998796</v>
      </c>
      <c r="ET43" s="131">
        <f t="shared" si="150"/>
        <v>16.980036987495779</v>
      </c>
      <c r="EU43" s="131">
        <f t="shared" si="151"/>
        <v>31.633548354122532</v>
      </c>
      <c r="EV43" s="2">
        <f t="shared" si="152"/>
        <v>15.40344400112992</v>
      </c>
      <c r="EW43" s="3">
        <f t="shared" si="153"/>
        <v>0.53708687015251111</v>
      </c>
      <c r="EX43" s="3">
        <f t="shared" si="153"/>
        <v>0.77451022268431524</v>
      </c>
    </row>
    <row r="44" spans="1:154" x14ac:dyDescent="0.35">
      <c r="A44">
        <f t="shared" si="133"/>
        <v>2047</v>
      </c>
      <c r="B44" s="162">
        <f t="shared" si="134"/>
        <v>12.295693176177926</v>
      </c>
      <c r="C44" s="79">
        <f t="shared" si="135"/>
        <v>13.906094169102598</v>
      </c>
      <c r="D44" s="173">
        <f t="shared" si="136"/>
        <v>14.920046669196166</v>
      </c>
      <c r="E44" s="179">
        <f t="shared" si="137"/>
        <v>15.933853158485999</v>
      </c>
      <c r="F44" s="184">
        <f t="shared" si="138"/>
        <v>16.929497466461136</v>
      </c>
      <c r="G44" s="2">
        <f t="shared" si="139"/>
        <v>14.797036927884767</v>
      </c>
      <c r="I44" s="158">
        <f>'Scenario 57-40%'!B77</f>
        <v>2047</v>
      </c>
      <c r="J44" s="79">
        <f>'Scenario 57-40%'!C77</f>
        <v>2.8786516853438182</v>
      </c>
      <c r="K44" s="79">
        <f>'Scenario 57-40%'!D77</f>
        <v>0.37219477700428399</v>
      </c>
      <c r="L44" s="79">
        <f>'Scenario 57-40%'!E77</f>
        <v>1.5244999437454785E-2</v>
      </c>
      <c r="M44" s="79">
        <f>'Scenario 57-40%'!F77</f>
        <v>10.421453756119952</v>
      </c>
      <c r="N44" s="79">
        <f>'Scenario 57-40%'!G77</f>
        <v>4.0399248509255177</v>
      </c>
      <c r="O44" s="79">
        <f>'Scenario 57-40%'!H77</f>
        <v>13.906094169102598</v>
      </c>
      <c r="P44" s="79"/>
      <c r="Q44" s="79"/>
      <c r="R44" s="79">
        <f>'Scenario 57-40%'!U77</f>
        <v>-3.433936123286689</v>
      </c>
      <c r="S44" s="157">
        <f t="shared" si="140"/>
        <v>2047</v>
      </c>
      <c r="T44" s="162">
        <f>'Scenario 51-51%'!C77</f>
        <v>3.2398522713571314</v>
      </c>
      <c r="U44" s="162">
        <f>'Scenario 51-51%'!D77</f>
        <v>0.30558169774738841</v>
      </c>
      <c r="V44" s="162">
        <f>'Scenario 51-51%'!E77</f>
        <v>1.2567380324375299E-2</v>
      </c>
      <c r="W44" s="162">
        <f>'Scenario 51-51%'!F77</f>
        <v>8.5562875369268756</v>
      </c>
      <c r="X44" s="162">
        <f>'Scenario 51-51%'!G77</f>
        <v>3.3303557859594544</v>
      </c>
      <c r="Y44" s="162">
        <f>'Scenario 51-51%'!H77</f>
        <v>12.295693176177926</v>
      </c>
      <c r="Z44" s="162"/>
      <c r="AA44" s="162"/>
      <c r="AB44" s="157">
        <f>'Scenario 51-51%'!U77</f>
        <v>-2.8308024180655362</v>
      </c>
      <c r="AC44" s="177">
        <f t="shared" si="141"/>
        <v>2047</v>
      </c>
      <c r="AD44" s="173">
        <f>'Scenario 61-33%'!C77</f>
        <v>2.6379486352041273</v>
      </c>
      <c r="AE44" s="173">
        <f>'Scenario 61-33%'!D77</f>
        <v>0.41458491834958111</v>
      </c>
      <c r="AF44" s="178">
        <f>'Scenario 61-33%'!E77</f>
        <v>1.6948938873050819E-2</v>
      </c>
      <c r="AG44" s="173">
        <f>'Scenario 61-33%'!F77</f>
        <v>11.608377713788272</v>
      </c>
      <c r="AH44" s="173">
        <f>'Scenario 61-33%'!G77</f>
        <v>4.4914688013584669</v>
      </c>
      <c r="AI44" s="173">
        <f>'Scenario 61-33%'!H77</f>
        <v>14.920046669196166</v>
      </c>
      <c r="AJ44" s="173"/>
      <c r="AK44" s="173"/>
      <c r="AL44" s="159">
        <f>'Scenario 61-33%'!U77</f>
        <v>-3.8177484811546969</v>
      </c>
      <c r="AM44" s="182">
        <f t="shared" si="142"/>
        <v>2047</v>
      </c>
      <c r="AN44" s="179">
        <f>'Scenario 65-25%'!C77</f>
        <v>2.3970995742606847</v>
      </c>
      <c r="AO44" s="179">
        <f>'Scenario 65-25%'!D77</f>
        <v>0.45697505969487856</v>
      </c>
      <c r="AP44" s="179">
        <f>'Scenario 65-25%'!E77</f>
        <v>1.8652878308646856E-2</v>
      </c>
      <c r="AQ44" s="179">
        <f>'Scenario 65-25%'!F77</f>
        <v>12.795301671456599</v>
      </c>
      <c r="AR44" s="179">
        <f>'Scenario 65-25%'!G77</f>
        <v>4.9430127517914171</v>
      </c>
      <c r="AS44" s="179">
        <f>'Scenario 65-25%'!H77</f>
        <v>15.933853158485999</v>
      </c>
      <c r="AT44" s="179"/>
      <c r="AU44" s="179"/>
      <c r="AV44" s="160">
        <f>'Scenario 65-25%'!U77</f>
        <v>-4.2015608390227044</v>
      </c>
      <c r="AW44" s="187">
        <f t="shared" si="143"/>
        <v>2047</v>
      </c>
      <c r="AX44" s="184">
        <f>'Scenario 69-19%'!C77</f>
        <v>2.0484700784144758</v>
      </c>
      <c r="AY44" s="184">
        <f>'Scenario 69-19%'!D77</f>
        <v>0.50239306827912533</v>
      </c>
      <c r="AZ44" s="184">
        <f>'Scenario 69-19%'!E77</f>
        <v>2.0478527703928308E-2</v>
      </c>
      <c r="BA44" s="184">
        <f>'Scenario 69-19%'!F77</f>
        <v>14.06700591181551</v>
      </c>
      <c r="BB44" s="184">
        <f>'Scenario 69-19%'!G77</f>
        <v>5.4268098415410018</v>
      </c>
      <c r="BC44" s="184">
        <f>'Scenario 69-19%'!H77</f>
        <v>16.929497466461136</v>
      </c>
      <c r="BD44" s="184"/>
      <c r="BE44" s="184"/>
      <c r="BF44" s="161">
        <f>'Scenario 69-19%'!U77</f>
        <v>-4.6127883653098509</v>
      </c>
      <c r="BG44" s="86"/>
      <c r="BH44" s="2"/>
      <c r="BI44" s="2"/>
      <c r="BJ44" s="2"/>
      <c r="BK44" s="2"/>
      <c r="BL44" s="2"/>
      <c r="BM44" s="2"/>
      <c r="BN44" s="2"/>
      <c r="BO44" s="2"/>
      <c r="BQ44" s="192">
        <f t="shared" si="145"/>
        <v>2047</v>
      </c>
      <c r="BR44" s="190">
        <f>WAM!C77</f>
        <v>12.052638636816411</v>
      </c>
      <c r="BS44" s="190">
        <f>WAM!D77</f>
        <v>0.5195613861832552</v>
      </c>
      <c r="BT44" s="190">
        <f>WAM!E77</f>
        <v>1.9163107394393294E-2</v>
      </c>
      <c r="BU44" s="190">
        <f>WAM!F77</f>
        <v>14.547718813131146</v>
      </c>
      <c r="BV44" s="190">
        <f>WAM!G77</f>
        <v>5.0782234595142226</v>
      </c>
      <c r="BW44" s="190">
        <f>WAM!H77</f>
        <v>27.362090968874689</v>
      </c>
      <c r="BX44" s="190"/>
      <c r="BY44" s="190"/>
      <c r="BZ44" s="189">
        <f>WAM!U77</f>
        <v>-4.3164899405870898</v>
      </c>
      <c r="DL44" s="2">
        <f t="shared" si="159"/>
        <v>2053</v>
      </c>
      <c r="DM44">
        <f t="shared" si="160"/>
        <v>1.2567380324375299E-2</v>
      </c>
      <c r="DN44" s="2">
        <f t="shared" si="161"/>
        <v>1.5244999437454785E-2</v>
      </c>
      <c r="DO44">
        <f t="shared" si="162"/>
        <v>1.6948938873050819E-2</v>
      </c>
      <c r="DP44">
        <f t="shared" si="163"/>
        <v>1.8652878308646856E-2</v>
      </c>
      <c r="DQ44">
        <f t="shared" si="164"/>
        <v>2.0478527703928308E-2</v>
      </c>
      <c r="DR44" s="2">
        <f t="shared" si="81"/>
        <v>1.9163107394393294E-2</v>
      </c>
      <c r="DS44" s="86">
        <f t="shared" si="165"/>
        <v>2053</v>
      </c>
      <c r="DT44" s="2">
        <f t="shared" si="166"/>
        <v>-3.3303557859594539</v>
      </c>
      <c r="DU44" s="2">
        <f t="shared" si="167"/>
        <v>-4.0399248509255168</v>
      </c>
      <c r="DV44" s="2">
        <f t="shared" si="168"/>
        <v>-4.4914688013584669</v>
      </c>
      <c r="DW44" s="2">
        <f t="shared" si="169"/>
        <v>-4.9430127517914171</v>
      </c>
      <c r="DX44" s="2">
        <f t="shared" si="170"/>
        <v>-5.426809841541</v>
      </c>
      <c r="DY44">
        <f t="shared" si="88"/>
        <v>-5.0782234595142244</v>
      </c>
      <c r="DZ44">
        <f t="shared" si="171"/>
        <v>2053</v>
      </c>
      <c r="EA44" s="2">
        <f t="shared" si="172"/>
        <v>-44.95980311045264</v>
      </c>
      <c r="EB44" s="2">
        <f t="shared" si="173"/>
        <v>-54.538985487494472</v>
      </c>
      <c r="EC44" s="2">
        <f t="shared" si="174"/>
        <v>-60.634828818339294</v>
      </c>
      <c r="ED44" s="2">
        <f t="shared" si="175"/>
        <v>-66.730672149184116</v>
      </c>
      <c r="EE44" s="2">
        <f t="shared" si="176"/>
        <v>-73.261932860803512</v>
      </c>
      <c r="EF44" s="2">
        <f t="shared" si="176"/>
        <v>-68.556016703442026</v>
      </c>
      <c r="EG44">
        <f t="shared" si="67"/>
        <v>2053</v>
      </c>
      <c r="EH44" s="1">
        <f t="shared" si="93"/>
        <v>-2.0231911399703689E-2</v>
      </c>
      <c r="EI44" s="1">
        <f t="shared" si="94"/>
        <v>-2.4542543469372513E-2</v>
      </c>
      <c r="EJ44" s="1">
        <f t="shared" si="95"/>
        <v>-2.728567296825268E-2</v>
      </c>
      <c r="EK44" s="1">
        <f t="shared" si="103"/>
        <v>-3.002880246713285E-2</v>
      </c>
      <c r="EL44" s="1">
        <f t="shared" si="103"/>
        <v>-3.2967869787361583E-2</v>
      </c>
      <c r="EP44">
        <f t="shared" si="146"/>
        <v>2047</v>
      </c>
      <c r="EQ44" s="131">
        <f t="shared" si="147"/>
        <v>12.295693176177926</v>
      </c>
      <c r="ER44" s="131">
        <f t="shared" si="148"/>
        <v>13.906094169102598</v>
      </c>
      <c r="ES44" s="131">
        <f t="shared" si="149"/>
        <v>14.920046669196166</v>
      </c>
      <c r="ET44" s="131">
        <f t="shared" si="150"/>
        <v>15.933853158485999</v>
      </c>
      <c r="EU44" s="131">
        <f t="shared" si="151"/>
        <v>27.362090968874689</v>
      </c>
      <c r="EV44" s="2">
        <f t="shared" si="152"/>
        <v>14.263921793240673</v>
      </c>
      <c r="EW44" s="3">
        <f t="shared" si="153"/>
        <v>0.5995937279061897</v>
      </c>
      <c r="EX44" s="3">
        <f t="shared" si="153"/>
        <v>0.79119159659552463</v>
      </c>
    </row>
    <row r="45" spans="1:154" x14ac:dyDescent="0.35">
      <c r="A45">
        <f t="shared" si="133"/>
        <v>2048</v>
      </c>
      <c r="B45" s="162">
        <f t="shared" si="134"/>
        <v>11.049224629760896</v>
      </c>
      <c r="C45" s="79">
        <f t="shared" si="135"/>
        <v>12.744547364775052</v>
      </c>
      <c r="D45" s="173">
        <f t="shared" si="136"/>
        <v>13.816157017393532</v>
      </c>
      <c r="E45" s="179">
        <f t="shared" si="137"/>
        <v>14.887669329476189</v>
      </c>
      <c r="F45" s="184">
        <f t="shared" si="138"/>
        <v>15.975333614912596</v>
      </c>
      <c r="G45" s="2">
        <f t="shared" si="139"/>
        <v>13.694586391263652</v>
      </c>
      <c r="I45" s="158">
        <f>'Scenario 57-40%'!B78</f>
        <v>2048</v>
      </c>
      <c r="J45" s="79">
        <f>'Scenario 57-40%'!C78</f>
        <v>1.9191011235625475</v>
      </c>
      <c r="K45" s="79">
        <f>'Scenario 57-40%'!D78</f>
        <v>0.37219477700428399</v>
      </c>
      <c r="L45" s="79">
        <f>'Scenario 57-40%'!E78</f>
        <v>1.5244999437454785E-2</v>
      </c>
      <c r="M45" s="79">
        <f>'Scenario 57-40%'!F78</f>
        <v>10.421453756119952</v>
      </c>
      <c r="N45" s="79">
        <f>'Scenario 57-40%'!G78</f>
        <v>4.0399248509255177</v>
      </c>
      <c r="O45" s="79">
        <f>'Scenario 57-40%'!H78</f>
        <v>12.744547364775052</v>
      </c>
      <c r="P45" s="79"/>
      <c r="Q45" s="79"/>
      <c r="R45" s="79">
        <f>'Scenario 57-40%'!U78</f>
        <v>-3.6359323658329648</v>
      </c>
      <c r="S45" s="157">
        <f t="shared" si="140"/>
        <v>2048</v>
      </c>
      <c r="T45" s="162">
        <f>'Scenario 51-51%'!C78</f>
        <v>2.1599015142380749</v>
      </c>
      <c r="U45" s="162">
        <f>'Scenario 51-51%'!D78</f>
        <v>0.30558169774738841</v>
      </c>
      <c r="V45" s="162">
        <f>'Scenario 51-51%'!E78</f>
        <v>1.2567380324375299E-2</v>
      </c>
      <c r="W45" s="162">
        <f>'Scenario 51-51%'!F78</f>
        <v>8.5562875369268756</v>
      </c>
      <c r="X45" s="162">
        <f>'Scenario 51-51%'!G78</f>
        <v>3.3303557859594544</v>
      </c>
      <c r="Y45" s="162">
        <f>'Scenario 51-51%'!H78</f>
        <v>11.049224629760896</v>
      </c>
      <c r="Z45" s="162"/>
      <c r="AA45" s="162"/>
      <c r="AB45" s="157">
        <f>'Scenario 51-51%'!U78</f>
        <v>-2.9973202073635088</v>
      </c>
      <c r="AC45" s="177">
        <f t="shared" si="141"/>
        <v>2048</v>
      </c>
      <c r="AD45" s="173">
        <f>'Scenario 61-33%'!C78</f>
        <v>1.7586324234694144</v>
      </c>
      <c r="AE45" s="173">
        <f>'Scenario 61-33%'!D78</f>
        <v>0.41458491834958111</v>
      </c>
      <c r="AF45" s="178">
        <f>'Scenario 61-33%'!E78</f>
        <v>1.6948938873050819E-2</v>
      </c>
      <c r="AG45" s="173">
        <f>'Scenario 61-33%'!F78</f>
        <v>11.608377713788272</v>
      </c>
      <c r="AH45" s="173">
        <f>'Scenario 61-33%'!G78</f>
        <v>4.4914688013584669</v>
      </c>
      <c r="AI45" s="173">
        <f>'Scenario 61-33%'!H78</f>
        <v>13.816157017393532</v>
      </c>
      <c r="AJ45" s="173"/>
      <c r="AK45" s="173"/>
      <c r="AL45" s="159">
        <f>'Scenario 61-33%'!U78</f>
        <v>-4.0423219212226202</v>
      </c>
      <c r="AM45" s="182">
        <f t="shared" si="142"/>
        <v>2048</v>
      </c>
      <c r="AN45" s="179">
        <f>'Scenario 65-25%'!C78</f>
        <v>1.598066382840446</v>
      </c>
      <c r="AO45" s="179">
        <f>'Scenario 65-25%'!D78</f>
        <v>0.45697505969487856</v>
      </c>
      <c r="AP45" s="179">
        <f>'Scenario 65-25%'!E78</f>
        <v>1.8652878308646856E-2</v>
      </c>
      <c r="AQ45" s="179">
        <f>'Scenario 65-25%'!F78</f>
        <v>12.795301671456599</v>
      </c>
      <c r="AR45" s="179">
        <f>'Scenario 65-25%'!G78</f>
        <v>4.9430127517914171</v>
      </c>
      <c r="AS45" s="179">
        <f>'Scenario 65-25%'!H78</f>
        <v>14.887669329476189</v>
      </c>
      <c r="AT45" s="179"/>
      <c r="AU45" s="179"/>
      <c r="AV45" s="160">
        <f>'Scenario 65-25%'!U78</f>
        <v>-4.4487114766122753</v>
      </c>
      <c r="AW45" s="187">
        <f t="shared" si="143"/>
        <v>2048</v>
      </c>
      <c r="AX45" s="184">
        <f>'Scenario 69-19%'!C78</f>
        <v>1.3656467189429853</v>
      </c>
      <c r="AY45" s="184">
        <f>'Scenario 69-19%'!D78</f>
        <v>0.50239306827912533</v>
      </c>
      <c r="AZ45" s="184">
        <f>'Scenario 69-19%'!E78</f>
        <v>2.0478527703928308E-2</v>
      </c>
      <c r="BA45" s="184">
        <f>'Scenario 69-19%'!F78</f>
        <v>14.06700591181551</v>
      </c>
      <c r="BB45" s="184">
        <f>'Scenario 69-19%'!G78</f>
        <v>5.4268098415410018</v>
      </c>
      <c r="BC45" s="184">
        <f>'Scenario 69-19%'!H78</f>
        <v>15.975333614912596</v>
      </c>
      <c r="BD45" s="184"/>
      <c r="BE45" s="184"/>
      <c r="BF45" s="161">
        <f>'Scenario 69-19%'!U78</f>
        <v>-4.8841288573869006</v>
      </c>
      <c r="BG45" s="86"/>
      <c r="BH45" s="2"/>
      <c r="BI45" s="2"/>
      <c r="BJ45" s="2"/>
      <c r="BK45" s="2"/>
      <c r="BL45" s="2"/>
      <c r="BM45" s="2"/>
      <c r="BN45" s="2"/>
      <c r="BO45" s="2"/>
      <c r="BQ45" s="192">
        <f t="shared" si="145"/>
        <v>2048</v>
      </c>
      <c r="BR45" s="190">
        <f>WAM!C78</f>
        <v>8.0350924245442741</v>
      </c>
      <c r="BS45" s="190">
        <f>WAM!D78</f>
        <v>0.5195613861832552</v>
      </c>
      <c r="BT45" s="190">
        <f>WAM!E78</f>
        <v>1.9163107394393294E-2</v>
      </c>
      <c r="BU45" s="190">
        <f>WAM!F78</f>
        <v>14.547718813131146</v>
      </c>
      <c r="BV45" s="190">
        <f>WAM!G78</f>
        <v>5.0782234595142226</v>
      </c>
      <c r="BW45" s="190">
        <f>WAM!H78</f>
        <v>23.09063358362684</v>
      </c>
      <c r="BX45" s="190"/>
      <c r="BY45" s="190"/>
      <c r="BZ45" s="189">
        <f>WAM!U78</f>
        <v>-4.5704011135628013</v>
      </c>
      <c r="DL45" s="2">
        <f t="shared" si="159"/>
        <v>2054</v>
      </c>
      <c r="DM45">
        <f t="shared" si="160"/>
        <v>1.2567380324375299E-2</v>
      </c>
      <c r="DN45" s="2">
        <f t="shared" si="161"/>
        <v>1.5244999437454785E-2</v>
      </c>
      <c r="DO45">
        <f t="shared" si="162"/>
        <v>1.6948938873050819E-2</v>
      </c>
      <c r="DP45">
        <f t="shared" si="163"/>
        <v>1.8652878308646856E-2</v>
      </c>
      <c r="DQ45">
        <f t="shared" si="164"/>
        <v>2.0478527703928308E-2</v>
      </c>
      <c r="DR45" s="2">
        <f t="shared" si="81"/>
        <v>1.9163107394393294E-2</v>
      </c>
      <c r="DS45" s="86">
        <f t="shared" si="165"/>
        <v>2054</v>
      </c>
      <c r="DT45" s="2">
        <f t="shared" si="166"/>
        <v>-3.3303557859594539</v>
      </c>
      <c r="DU45" s="2">
        <f t="shared" si="167"/>
        <v>-4.0399248509255168</v>
      </c>
      <c r="DV45" s="2">
        <f t="shared" si="168"/>
        <v>-4.4914688013584669</v>
      </c>
      <c r="DW45" s="2">
        <f t="shared" si="169"/>
        <v>-4.9430127517914171</v>
      </c>
      <c r="DX45" s="2">
        <f t="shared" si="170"/>
        <v>-5.426809841541</v>
      </c>
      <c r="DY45">
        <f t="shared" si="88"/>
        <v>-5.0782234595142244</v>
      </c>
      <c r="DZ45">
        <f t="shared" si="171"/>
        <v>2054</v>
      </c>
      <c r="EA45" s="2">
        <f t="shared" si="172"/>
        <v>-48.290158896412095</v>
      </c>
      <c r="EB45" s="2">
        <f t="shared" si="173"/>
        <v>-58.578910338419988</v>
      </c>
      <c r="EC45" s="2">
        <f t="shared" si="174"/>
        <v>-65.126297619697766</v>
      </c>
      <c r="ED45" s="2">
        <f t="shared" si="175"/>
        <v>-71.67368490097553</v>
      </c>
      <c r="EE45" s="2">
        <f t="shared" si="176"/>
        <v>-78.688742702344513</v>
      </c>
      <c r="EF45" s="2">
        <f t="shared" si="176"/>
        <v>-73.634240162956246</v>
      </c>
      <c r="EG45">
        <f t="shared" si="67"/>
        <v>2054</v>
      </c>
      <c r="EH45" s="1">
        <f t="shared" si="93"/>
        <v>-2.1730571503385442E-2</v>
      </c>
      <c r="EI45" s="1">
        <f t="shared" si="94"/>
        <v>-2.6360509652288994E-2</v>
      </c>
      <c r="EJ45" s="1">
        <f t="shared" si="95"/>
        <v>-2.9306833928863994E-2</v>
      </c>
      <c r="EK45" s="1">
        <f t="shared" si="103"/>
        <v>-3.2253158205438989E-2</v>
      </c>
      <c r="EL45" s="1">
        <f t="shared" si="103"/>
        <v>-3.5409934216055032E-2</v>
      </c>
      <c r="EP45">
        <f t="shared" si="146"/>
        <v>2048</v>
      </c>
      <c r="EQ45" s="131">
        <f t="shared" si="147"/>
        <v>11.049224629760896</v>
      </c>
      <c r="ER45" s="131">
        <f t="shared" si="148"/>
        <v>12.744547364775052</v>
      </c>
      <c r="ES45" s="131">
        <f t="shared" si="149"/>
        <v>13.816157017393532</v>
      </c>
      <c r="ET45" s="131">
        <f t="shared" si="150"/>
        <v>14.887669329476189</v>
      </c>
      <c r="EU45" s="131">
        <f t="shared" si="151"/>
        <v>23.09063358362684</v>
      </c>
      <c r="EV45" s="2">
        <f t="shared" si="152"/>
        <v>13.124399585351417</v>
      </c>
      <c r="EW45" s="3">
        <f t="shared" si="153"/>
        <v>0.66210058565986829</v>
      </c>
      <c r="EX45" s="3">
        <f t="shared" si="153"/>
        <v>0.80787297050673412</v>
      </c>
    </row>
    <row r="46" spans="1:154" x14ac:dyDescent="0.35">
      <c r="A46">
        <f t="shared" si="133"/>
        <v>2049</v>
      </c>
      <c r="B46" s="162">
        <f t="shared" si="134"/>
        <v>9.8027560833438834</v>
      </c>
      <c r="C46" s="79">
        <f t="shared" si="135"/>
        <v>11.583000560447505</v>
      </c>
      <c r="D46" s="173">
        <f t="shared" si="136"/>
        <v>12.7122673655909</v>
      </c>
      <c r="E46" s="179">
        <f t="shared" si="137"/>
        <v>13.841485500466396</v>
      </c>
      <c r="F46" s="184">
        <f t="shared" si="138"/>
        <v>15.021169763364057</v>
      </c>
      <c r="G46" s="2">
        <f t="shared" si="139"/>
        <v>12.592135854642548</v>
      </c>
      <c r="I46" s="158">
        <f>'Scenario 57-40%'!B79</f>
        <v>2049</v>
      </c>
      <c r="J46" s="79">
        <f>'Scenario 57-40%'!C79</f>
        <v>0.95955056178127618</v>
      </c>
      <c r="K46" s="79">
        <f>'Scenario 57-40%'!D79</f>
        <v>0.37219477700428399</v>
      </c>
      <c r="L46" s="79">
        <f>'Scenario 57-40%'!E79</f>
        <v>1.5244999437454785E-2</v>
      </c>
      <c r="M46" s="79">
        <f>'Scenario 57-40%'!F79</f>
        <v>10.421453756119952</v>
      </c>
      <c r="N46" s="79">
        <f>'Scenario 57-40%'!G79</f>
        <v>4.0399248509255177</v>
      </c>
      <c r="O46" s="79">
        <f>'Scenario 57-40%'!H79</f>
        <v>11.583000560447505</v>
      </c>
      <c r="P46" s="79"/>
      <c r="Q46" s="79"/>
      <c r="R46" s="79">
        <f>'Scenario 57-40%'!U79</f>
        <v>-3.8379286083792405</v>
      </c>
      <c r="S46" s="157">
        <f t="shared" si="140"/>
        <v>2049</v>
      </c>
      <c r="T46" s="162">
        <f>'Scenario 51-51%'!C79</f>
        <v>1.0799507571190341</v>
      </c>
      <c r="U46" s="162">
        <f>'Scenario 51-51%'!D79</f>
        <v>0.30558169774738841</v>
      </c>
      <c r="V46" s="162">
        <f>'Scenario 51-51%'!E79</f>
        <v>1.2567380324375299E-2</v>
      </c>
      <c r="W46" s="162">
        <f>'Scenario 51-51%'!F79</f>
        <v>8.5562875369268756</v>
      </c>
      <c r="X46" s="162">
        <f>'Scenario 51-51%'!G79</f>
        <v>3.3303557859594544</v>
      </c>
      <c r="Y46" s="162">
        <f>'Scenario 51-51%'!H79</f>
        <v>9.8027560833438834</v>
      </c>
      <c r="Z46" s="162"/>
      <c r="AA46" s="162"/>
      <c r="AB46" s="157">
        <f>'Scenario 51-51%'!U79</f>
        <v>-3.1638379966614814</v>
      </c>
      <c r="AC46" s="177">
        <f t="shared" si="141"/>
        <v>2049</v>
      </c>
      <c r="AD46" s="173">
        <f>'Scenario 61-33%'!C79</f>
        <v>0.87931621173470897</v>
      </c>
      <c r="AE46" s="173">
        <f>'Scenario 61-33%'!D79</f>
        <v>0.41458491834958111</v>
      </c>
      <c r="AF46" s="178">
        <f>'Scenario 61-33%'!E79</f>
        <v>1.6948938873050819E-2</v>
      </c>
      <c r="AG46" s="173">
        <f>'Scenario 61-33%'!F79</f>
        <v>11.608377713788272</v>
      </c>
      <c r="AH46" s="173">
        <f>'Scenario 61-33%'!G79</f>
        <v>4.4914688013584669</v>
      </c>
      <c r="AI46" s="173">
        <f>'Scenario 61-33%'!H79</f>
        <v>12.7122673655909</v>
      </c>
      <c r="AJ46" s="173"/>
      <c r="AK46" s="173"/>
      <c r="AL46" s="159">
        <f>'Scenario 61-33%'!U79</f>
        <v>-4.266895361290544</v>
      </c>
      <c r="AM46" s="182">
        <f t="shared" si="142"/>
        <v>2049</v>
      </c>
      <c r="AN46" s="179">
        <f>'Scenario 65-25%'!C79</f>
        <v>0.79903319142022455</v>
      </c>
      <c r="AO46" s="179">
        <f>'Scenario 65-25%'!D79</f>
        <v>0.45697505969487856</v>
      </c>
      <c r="AP46" s="179">
        <f>'Scenario 65-25%'!E79</f>
        <v>1.8652878308646856E-2</v>
      </c>
      <c r="AQ46" s="179">
        <f>'Scenario 65-25%'!F79</f>
        <v>12.795301671456599</v>
      </c>
      <c r="AR46" s="179">
        <f>'Scenario 65-25%'!G79</f>
        <v>4.9430127517914171</v>
      </c>
      <c r="AS46" s="179">
        <f>'Scenario 65-25%'!H79</f>
        <v>13.841485500466396</v>
      </c>
      <c r="AT46" s="179"/>
      <c r="AU46" s="179"/>
      <c r="AV46" s="160">
        <f>'Scenario 65-25%'!U79</f>
        <v>-4.6958621142018462</v>
      </c>
      <c r="AW46" s="187">
        <f t="shared" si="143"/>
        <v>2049</v>
      </c>
      <c r="AX46" s="184">
        <f>'Scenario 69-19%'!C79</f>
        <v>0.68282335947149475</v>
      </c>
      <c r="AY46" s="184">
        <f>'Scenario 69-19%'!D79</f>
        <v>0.50239306827912533</v>
      </c>
      <c r="AZ46" s="184">
        <f>'Scenario 69-19%'!E79</f>
        <v>2.0478527703928308E-2</v>
      </c>
      <c r="BA46" s="184">
        <f>'Scenario 69-19%'!F79</f>
        <v>14.06700591181551</v>
      </c>
      <c r="BB46" s="184">
        <f>'Scenario 69-19%'!G79</f>
        <v>5.4268098415410018</v>
      </c>
      <c r="BC46" s="184">
        <f>'Scenario 69-19%'!H79</f>
        <v>15.021169763364057</v>
      </c>
      <c r="BD46" s="184"/>
      <c r="BE46" s="184"/>
      <c r="BF46" s="161">
        <f>'Scenario 69-19%'!U79</f>
        <v>-5.1554693494639503</v>
      </c>
      <c r="BG46" s="86"/>
      <c r="BH46" s="2"/>
      <c r="BI46" s="2"/>
      <c r="BJ46" s="2"/>
      <c r="BK46" s="2"/>
      <c r="BL46" s="2"/>
      <c r="BM46" s="2"/>
      <c r="BN46" s="2"/>
      <c r="BO46" s="2"/>
      <c r="BQ46" s="192">
        <f t="shared" si="145"/>
        <v>2049</v>
      </c>
      <c r="BR46" s="190">
        <f>WAM!C79</f>
        <v>4.0175462122721388</v>
      </c>
      <c r="BS46" s="190">
        <f>WAM!D79</f>
        <v>0.5195613861832552</v>
      </c>
      <c r="BT46" s="190">
        <f>WAM!E79</f>
        <v>1.9163107394393294E-2</v>
      </c>
      <c r="BU46" s="190">
        <f>WAM!F79</f>
        <v>14.547718813131146</v>
      </c>
      <c r="BV46" s="190">
        <f>WAM!G79</f>
        <v>5.0782234595142226</v>
      </c>
      <c r="BW46" s="190">
        <f>WAM!H79</f>
        <v>18.81917619837899</v>
      </c>
      <c r="BX46" s="190"/>
      <c r="BY46" s="190"/>
      <c r="BZ46" s="189">
        <f>WAM!U79</f>
        <v>-4.8243122865385129</v>
      </c>
      <c r="DL46" s="2">
        <f t="shared" si="159"/>
        <v>2055</v>
      </c>
      <c r="DM46">
        <f t="shared" si="160"/>
        <v>1.2567380324375299E-2</v>
      </c>
      <c r="DN46" s="2">
        <f t="shared" si="161"/>
        <v>1.5244999437454785E-2</v>
      </c>
      <c r="DO46">
        <f t="shared" si="162"/>
        <v>1.6948938873050819E-2</v>
      </c>
      <c r="DP46">
        <f t="shared" si="163"/>
        <v>1.8652878308646856E-2</v>
      </c>
      <c r="DQ46">
        <f t="shared" si="164"/>
        <v>2.0478527703928308E-2</v>
      </c>
      <c r="DR46" s="2">
        <f t="shared" si="81"/>
        <v>1.9163107394393294E-2</v>
      </c>
      <c r="DS46" s="86">
        <f t="shared" si="165"/>
        <v>2055</v>
      </c>
      <c r="DT46" s="2">
        <f t="shared" si="166"/>
        <v>-3.3303557859594539</v>
      </c>
      <c r="DU46" s="2">
        <f t="shared" si="167"/>
        <v>-4.0399248509255168</v>
      </c>
      <c r="DV46" s="2">
        <f t="shared" si="168"/>
        <v>-4.4914688013584669</v>
      </c>
      <c r="DW46" s="2">
        <f t="shared" si="169"/>
        <v>-4.9430127517914171</v>
      </c>
      <c r="DX46" s="2">
        <f t="shared" si="170"/>
        <v>-5.426809841541</v>
      </c>
      <c r="DY46">
        <f t="shared" si="88"/>
        <v>-5.0782234595142244</v>
      </c>
      <c r="DZ46">
        <f t="shared" si="171"/>
        <v>2055</v>
      </c>
      <c r="EA46" s="2">
        <f t="shared" si="172"/>
        <v>-51.620514682371549</v>
      </c>
      <c r="EB46" s="2">
        <f t="shared" si="173"/>
        <v>-62.618835189345504</v>
      </c>
      <c r="EC46" s="2">
        <f t="shared" si="174"/>
        <v>-69.617766421056231</v>
      </c>
      <c r="ED46" s="2">
        <f t="shared" si="175"/>
        <v>-76.616697652766945</v>
      </c>
      <c r="EE46" s="2">
        <f t="shared" si="176"/>
        <v>-84.115552543885514</v>
      </c>
      <c r="EF46" s="2">
        <f t="shared" si="176"/>
        <v>-78.712463622470466</v>
      </c>
      <c r="EG46">
        <f t="shared" si="67"/>
        <v>2055</v>
      </c>
      <c r="EH46" s="1">
        <f t="shared" si="93"/>
        <v>-2.3229231607067198E-2</v>
      </c>
      <c r="EI46" s="1">
        <f t="shared" si="94"/>
        <v>-2.8178475835205476E-2</v>
      </c>
      <c r="EJ46" s="1">
        <f t="shared" si="95"/>
        <v>-3.1327994889475304E-2</v>
      </c>
      <c r="EK46" s="1">
        <f t="shared" si="103"/>
        <v>-3.4477513943745125E-2</v>
      </c>
      <c r="EL46" s="1">
        <f t="shared" si="103"/>
        <v>-3.7851998644748482E-2</v>
      </c>
      <c r="EP46">
        <f t="shared" si="146"/>
        <v>2049</v>
      </c>
      <c r="EQ46" s="131">
        <f t="shared" si="147"/>
        <v>9.8027560833438834</v>
      </c>
      <c r="ER46" s="131">
        <f t="shared" si="148"/>
        <v>11.583000560447505</v>
      </c>
      <c r="ES46" s="131">
        <f t="shared" si="149"/>
        <v>12.7122673655909</v>
      </c>
      <c r="ET46" s="131">
        <f t="shared" si="150"/>
        <v>13.841485500466396</v>
      </c>
      <c r="EU46" s="131">
        <f t="shared" si="151"/>
        <v>18.81917619837899</v>
      </c>
      <c r="EV46" s="2">
        <f t="shared" si="152"/>
        <v>11.984877377462171</v>
      </c>
      <c r="EW46" s="3">
        <f t="shared" si="153"/>
        <v>0.72460744341354699</v>
      </c>
      <c r="EX46" s="3">
        <f t="shared" si="153"/>
        <v>0.82455434441794351</v>
      </c>
    </row>
    <row r="47" spans="1:154" x14ac:dyDescent="0.35">
      <c r="A47">
        <f t="shared" si="133"/>
        <v>2050</v>
      </c>
      <c r="B47" s="162">
        <f t="shared" si="134"/>
        <v>8.5562875369268809</v>
      </c>
      <c r="C47" s="79">
        <f t="shared" si="135"/>
        <v>10.421453756119956</v>
      </c>
      <c r="D47" s="173">
        <f t="shared" si="136"/>
        <v>11.608377713788256</v>
      </c>
      <c r="E47" s="179">
        <f t="shared" si="137"/>
        <v>12.795301671456588</v>
      </c>
      <c r="F47" s="184">
        <f t="shared" si="138"/>
        <v>14.067005911815514</v>
      </c>
      <c r="G47" s="2">
        <f t="shared" si="139"/>
        <v>11.489685318021438</v>
      </c>
      <c r="I47" s="158">
        <f>'Scenario 57-40%'!B80</f>
        <v>2050</v>
      </c>
      <c r="J47" s="79">
        <f>'Scenario 57-40%'!C80</f>
        <v>2.1382833571495492E-15</v>
      </c>
      <c r="K47" s="79">
        <f>'Scenario 57-40%'!D80</f>
        <v>0.37219477700428399</v>
      </c>
      <c r="L47" s="79">
        <f>'Scenario 57-40%'!E80</f>
        <v>1.5244999437454785E-2</v>
      </c>
      <c r="M47" s="79">
        <f>'Scenario 57-40%'!F80</f>
        <v>10.421453756119952</v>
      </c>
      <c r="N47" s="79">
        <f>'Scenario 57-40%'!G80</f>
        <v>4.0399248509255177</v>
      </c>
      <c r="O47" s="79">
        <f>'Scenario 57-40%'!H80</f>
        <v>10.421453756119956</v>
      </c>
      <c r="P47" s="79"/>
      <c r="Q47" s="79"/>
      <c r="R47" s="79">
        <f>'Scenario 57-40%'!U80</f>
        <v>-4.0399248509255168</v>
      </c>
      <c r="S47" s="157">
        <f t="shared" si="140"/>
        <v>2050</v>
      </c>
      <c r="T47" s="162">
        <f>'Scenario 51-51%'!C80</f>
        <v>2.8804233201616342E-15</v>
      </c>
      <c r="U47" s="162">
        <f>'Scenario 51-51%'!D80</f>
        <v>0.30558169774738841</v>
      </c>
      <c r="V47" s="162">
        <f>'Scenario 51-51%'!E80</f>
        <v>1.2567380324375299E-2</v>
      </c>
      <c r="W47" s="162">
        <f>'Scenario 51-51%'!F80</f>
        <v>8.5562875369268756</v>
      </c>
      <c r="X47" s="162">
        <f>'Scenario 51-51%'!G80</f>
        <v>3.3303557859594544</v>
      </c>
      <c r="Y47" s="162">
        <f>'Scenario 51-51%'!H80</f>
        <v>8.5562875369268809</v>
      </c>
      <c r="Z47" s="162"/>
      <c r="AA47" s="162"/>
      <c r="AB47" s="157">
        <f>'Scenario 51-51%'!U80</f>
        <v>-3.3303557859594539</v>
      </c>
      <c r="AC47" s="177">
        <f t="shared" si="141"/>
        <v>2050</v>
      </c>
      <c r="AD47" s="173">
        <f>'Scenario 61-33%'!C80</f>
        <v>-1.2687585701894498E-14</v>
      </c>
      <c r="AE47" s="173">
        <f>'Scenario 61-33%'!D80</f>
        <v>0.41458491834958111</v>
      </c>
      <c r="AF47" s="178">
        <f>'Scenario 61-33%'!E80</f>
        <v>1.6948938873050819E-2</v>
      </c>
      <c r="AG47" s="173">
        <f>'Scenario 61-33%'!F80</f>
        <v>11.608377713788272</v>
      </c>
      <c r="AH47" s="173">
        <f>'Scenario 61-33%'!G80</f>
        <v>4.4914688013584669</v>
      </c>
      <c r="AI47" s="173">
        <f>'Scenario 61-33%'!H80</f>
        <v>11.608377713788256</v>
      </c>
      <c r="AJ47" s="173"/>
      <c r="AK47" s="173"/>
      <c r="AL47" s="159">
        <f>'Scenario 61-33%'!U80</f>
        <v>-4.4914688013584669</v>
      </c>
      <c r="AM47" s="182">
        <f t="shared" si="142"/>
        <v>2050</v>
      </c>
      <c r="AN47" s="179">
        <f>'Scenario 65-25%'!C80</f>
        <v>-9.6488780250976305E-15</v>
      </c>
      <c r="AO47" s="179">
        <f>'Scenario 65-25%'!D80</f>
        <v>0.45697505969487856</v>
      </c>
      <c r="AP47" s="179">
        <f>'Scenario 65-25%'!E80</f>
        <v>1.8652878308646856E-2</v>
      </c>
      <c r="AQ47" s="179">
        <f>'Scenario 65-25%'!F80</f>
        <v>12.795301671456599</v>
      </c>
      <c r="AR47" s="179">
        <f>'Scenario 65-25%'!G80</f>
        <v>4.9430127517914171</v>
      </c>
      <c r="AS47" s="179">
        <f>'Scenario 65-25%'!H80</f>
        <v>12.795301671456588</v>
      </c>
      <c r="AT47" s="179"/>
      <c r="AU47" s="179"/>
      <c r="AV47" s="160">
        <f>'Scenario 65-25%'!U80</f>
        <v>-4.9430127517914171</v>
      </c>
      <c r="AW47" s="187">
        <f t="shared" si="143"/>
        <v>2050</v>
      </c>
      <c r="AX47" s="184">
        <f>'Scenario 69-19%'!C80</f>
        <v>4.2188474935755949E-15</v>
      </c>
      <c r="AY47" s="184">
        <f>'Scenario 69-19%'!D80</f>
        <v>0.50239306827912533</v>
      </c>
      <c r="AZ47" s="184">
        <f>'Scenario 69-19%'!E80</f>
        <v>2.0478527703928308E-2</v>
      </c>
      <c r="BA47" s="184">
        <f>'Scenario 69-19%'!F80</f>
        <v>14.06700591181551</v>
      </c>
      <c r="BB47" s="184">
        <f>'Scenario 69-19%'!G80</f>
        <v>5.4268098415410018</v>
      </c>
      <c r="BC47" s="184">
        <f>'Scenario 69-19%'!H80</f>
        <v>14.067005911815514</v>
      </c>
      <c r="BD47" s="184"/>
      <c r="BE47" s="184"/>
      <c r="BF47" s="161">
        <f>'Scenario 69-19%'!U80</f>
        <v>-5.426809841541</v>
      </c>
      <c r="BG47" s="86"/>
      <c r="BH47" s="2"/>
      <c r="BI47" s="2"/>
      <c r="BJ47" s="2"/>
      <c r="BK47" s="2"/>
      <c r="BL47" s="2"/>
      <c r="BM47" s="2"/>
      <c r="BN47" s="2"/>
      <c r="BO47" s="2"/>
      <c r="BQ47" s="192">
        <f t="shared" si="145"/>
        <v>2050</v>
      </c>
      <c r="BR47" s="190">
        <f>WAM!C80</f>
        <v>0</v>
      </c>
      <c r="BS47" s="190">
        <f>WAM!D80</f>
        <v>0.5195613861832552</v>
      </c>
      <c r="BT47" s="190">
        <f>WAM!E80</f>
        <v>1.9163107394393294E-2</v>
      </c>
      <c r="BU47" s="190">
        <f>WAM!F80</f>
        <v>14.547718813131146</v>
      </c>
      <c r="BV47" s="190">
        <f>WAM!G80</f>
        <v>5.0782234595142226</v>
      </c>
      <c r="BW47" s="190">
        <f>WAM!H80</f>
        <v>14.547718813131144</v>
      </c>
      <c r="BX47" s="190"/>
      <c r="BY47" s="190"/>
      <c r="BZ47" s="189">
        <f>WAM!U80</f>
        <v>-5.0782234595142244</v>
      </c>
      <c r="CI47" s="98"/>
      <c r="DL47" s="2">
        <f t="shared" si="159"/>
        <v>2056</v>
      </c>
      <c r="DM47">
        <f t="shared" si="160"/>
        <v>1.2567380324375299E-2</v>
      </c>
      <c r="DN47" s="2">
        <f t="shared" si="161"/>
        <v>1.5244999437454785E-2</v>
      </c>
      <c r="DO47">
        <f t="shared" si="162"/>
        <v>1.6948938873050819E-2</v>
      </c>
      <c r="DP47">
        <f t="shared" si="163"/>
        <v>1.8652878308646856E-2</v>
      </c>
      <c r="DQ47">
        <f t="shared" si="164"/>
        <v>2.0478527703928308E-2</v>
      </c>
      <c r="DR47" s="2">
        <f t="shared" si="81"/>
        <v>1.9163107394393294E-2</v>
      </c>
      <c r="DS47" s="86">
        <f t="shared" si="165"/>
        <v>2056</v>
      </c>
      <c r="DT47" s="2">
        <f t="shared" si="166"/>
        <v>-3.3303557859594539</v>
      </c>
      <c r="DU47" s="2">
        <f t="shared" si="167"/>
        <v>-4.0399248509255168</v>
      </c>
      <c r="DV47" s="2">
        <f t="shared" si="168"/>
        <v>-4.4914688013584669</v>
      </c>
      <c r="DW47" s="2">
        <f t="shared" si="169"/>
        <v>-4.9430127517914171</v>
      </c>
      <c r="DX47" s="2">
        <f t="shared" si="170"/>
        <v>-5.426809841541</v>
      </c>
      <c r="DY47">
        <f t="shared" si="88"/>
        <v>-5.0782234595142244</v>
      </c>
      <c r="DZ47">
        <f t="shared" si="171"/>
        <v>2056</v>
      </c>
      <c r="EA47" s="2">
        <f t="shared" si="172"/>
        <v>-54.950870468331004</v>
      </c>
      <c r="EB47" s="2">
        <f t="shared" si="173"/>
        <v>-66.658760040271019</v>
      </c>
      <c r="EC47" s="2">
        <f t="shared" si="174"/>
        <v>-74.109235222414696</v>
      </c>
      <c r="ED47" s="2">
        <f t="shared" si="175"/>
        <v>-81.559710404558359</v>
      </c>
      <c r="EE47" s="2">
        <f t="shared" si="176"/>
        <v>-89.542362385426514</v>
      </c>
      <c r="EF47" s="2">
        <f t="shared" si="176"/>
        <v>-83.790687081984686</v>
      </c>
      <c r="EG47">
        <f t="shared" si="67"/>
        <v>2056</v>
      </c>
      <c r="EH47" s="1">
        <f t="shared" si="93"/>
        <v>-2.4727891710748951E-2</v>
      </c>
      <c r="EI47" s="1">
        <f t="shared" si="94"/>
        <v>-2.9996442018121957E-2</v>
      </c>
      <c r="EJ47" s="1">
        <f t="shared" si="95"/>
        <v>-3.3349155850086611E-2</v>
      </c>
      <c r="EK47" s="1">
        <f t="shared" si="103"/>
        <v>-3.6701869682051261E-2</v>
      </c>
      <c r="EL47" s="1">
        <f t="shared" si="103"/>
        <v>-4.0294063073441931E-2</v>
      </c>
      <c r="EP47">
        <f t="shared" si="146"/>
        <v>2050</v>
      </c>
      <c r="EQ47" s="131">
        <f t="shared" si="147"/>
        <v>8.5562875369268809</v>
      </c>
      <c r="ER47" s="131">
        <f t="shared" si="148"/>
        <v>10.421453756119956</v>
      </c>
      <c r="ES47" s="131">
        <f t="shared" si="149"/>
        <v>11.608377713788256</v>
      </c>
      <c r="ET47" s="131">
        <f t="shared" si="150"/>
        <v>12.795301671456588</v>
      </c>
      <c r="EU47" s="131">
        <f t="shared" si="151"/>
        <v>14.547718813131144</v>
      </c>
      <c r="EV47" s="2">
        <f t="shared" si="152"/>
        <v>10.845355169572919</v>
      </c>
      <c r="EW47" s="3">
        <f t="shared" si="153"/>
        <v>0.78711430116722569</v>
      </c>
      <c r="EX47" s="3">
        <f t="shared" si="153"/>
        <v>0.841235718329153</v>
      </c>
    </row>
    <row r="48" spans="1:154" x14ac:dyDescent="0.35">
      <c r="A48">
        <f t="shared" si="133"/>
        <v>2051</v>
      </c>
      <c r="B48" s="162">
        <f t="shared" si="134"/>
        <v>11.88664332288633</v>
      </c>
      <c r="C48" s="79">
        <f t="shared" si="135"/>
        <v>14.46137860704547</v>
      </c>
      <c r="D48" s="173">
        <f t="shared" si="136"/>
        <v>11.60837771378827</v>
      </c>
      <c r="E48" s="179">
        <f t="shared" si="137"/>
        <v>12.795301671456599</v>
      </c>
      <c r="F48" s="184">
        <f t="shared" si="138"/>
        <v>14.06700591181551</v>
      </c>
      <c r="G48" s="2">
        <f t="shared" si="139"/>
        <v>12.963741445398435</v>
      </c>
      <c r="I48" s="158">
        <f>'Scenario 57-40%'!B81</f>
        <v>2051</v>
      </c>
      <c r="J48" s="79">
        <f>'Scenario 57-40%'!C81</f>
        <v>0</v>
      </c>
      <c r="K48" s="79">
        <f>'Scenario 57-40%'!D81</f>
        <v>0.37219477700428399</v>
      </c>
      <c r="L48" s="79">
        <f>'Scenario 57-40%'!E81</f>
        <v>1.5244999437454785E-2</v>
      </c>
      <c r="M48" s="79">
        <f>'Scenario 57-40%'!F81</f>
        <v>10.421453756119952</v>
      </c>
      <c r="N48" s="79">
        <f>'Scenario 57-40%'!G81</f>
        <v>4.0399248509255177</v>
      </c>
      <c r="O48" s="79">
        <f>'Scenario 57-40%'!H81</f>
        <v>14.46137860704547</v>
      </c>
      <c r="P48" s="79"/>
      <c r="Q48" s="79"/>
      <c r="R48" s="79">
        <f>'Scenario 57-40%'!U81</f>
        <v>-4.0399248509255168</v>
      </c>
      <c r="S48" s="157">
        <f t="shared" si="140"/>
        <v>2051</v>
      </c>
      <c r="T48" s="162">
        <f>'Scenario 51-51%'!C81</f>
        <v>0</v>
      </c>
      <c r="U48" s="162">
        <f>'Scenario 51-51%'!D81</f>
        <v>0.30558169774738841</v>
      </c>
      <c r="V48" s="162">
        <f>'Scenario 51-51%'!E81</f>
        <v>1.2567380324375299E-2</v>
      </c>
      <c r="W48" s="162">
        <f>'Scenario 51-51%'!F81</f>
        <v>8.5562875369268756</v>
      </c>
      <c r="X48" s="162">
        <f>'Scenario 51-51%'!G81</f>
        <v>3.3303557859594544</v>
      </c>
      <c r="Y48" s="162">
        <f>'Scenario 51-51%'!H81</f>
        <v>11.88664332288633</v>
      </c>
      <c r="Z48" s="162"/>
      <c r="AA48" s="162"/>
      <c r="AB48" s="157">
        <f>'Scenario 51-51%'!U81</f>
        <v>-3.3303557859594539</v>
      </c>
      <c r="AC48" s="177">
        <f t="shared" si="141"/>
        <v>2051</v>
      </c>
      <c r="AD48" s="173">
        <f>'Scenario 61-33%'!C81</f>
        <v>0</v>
      </c>
      <c r="AE48" s="173">
        <f>'Scenario 61-33%'!D81</f>
        <v>0.41458491834958111</v>
      </c>
      <c r="AF48" s="178">
        <f>'Scenario 61-33%'!E81</f>
        <v>1.6948938873050819E-2</v>
      </c>
      <c r="AG48" s="173">
        <f>'Scenario 61-33%'!F81</f>
        <v>11.608377713788272</v>
      </c>
      <c r="AH48" s="173">
        <f>'Scenario 61-33%'!G81</f>
        <v>4.4914688013584669</v>
      </c>
      <c r="AI48" s="173">
        <f>'Scenario 61-33%'!H81</f>
        <v>11.60837771378827</v>
      </c>
      <c r="AJ48" s="173"/>
      <c r="AK48" s="173"/>
      <c r="AL48" s="159">
        <f>'Scenario 61-33%'!U81</f>
        <v>-4.4914688013584669</v>
      </c>
      <c r="AM48" s="182">
        <f t="shared" si="142"/>
        <v>2051</v>
      </c>
      <c r="AN48" s="179">
        <f>'Scenario 65-25%'!C81</f>
        <v>0</v>
      </c>
      <c r="AO48" s="179">
        <f>'Scenario 65-25%'!D81</f>
        <v>0.45697505969487856</v>
      </c>
      <c r="AP48" s="179">
        <f>'Scenario 65-25%'!E81</f>
        <v>1.8652878308646856E-2</v>
      </c>
      <c r="AQ48" s="179">
        <f>'Scenario 65-25%'!F81</f>
        <v>12.795301671456599</v>
      </c>
      <c r="AR48" s="179">
        <f>'Scenario 65-25%'!G81</f>
        <v>4.9430127517914171</v>
      </c>
      <c r="AS48" s="179">
        <f>'Scenario 65-25%'!H81</f>
        <v>12.795301671456599</v>
      </c>
      <c r="AT48" s="179"/>
      <c r="AU48" s="179"/>
      <c r="AV48" s="160">
        <f>'Scenario 65-25%'!U81</f>
        <v>-4.9430127517914171</v>
      </c>
      <c r="AW48" s="187">
        <f t="shared" si="143"/>
        <v>2051</v>
      </c>
      <c r="AX48" s="184">
        <f>'Scenario 69-19%'!C81</f>
        <v>0</v>
      </c>
      <c r="AY48" s="184">
        <f>'Scenario 69-19%'!D81</f>
        <v>0.50239306827912533</v>
      </c>
      <c r="AZ48" s="184">
        <f>'Scenario 69-19%'!E81</f>
        <v>2.0478527703928308E-2</v>
      </c>
      <c r="BA48" s="184">
        <f>'Scenario 69-19%'!F81</f>
        <v>14.06700591181551</v>
      </c>
      <c r="BB48" s="184">
        <f>'Scenario 69-19%'!G81</f>
        <v>5.4268098415410018</v>
      </c>
      <c r="BC48" s="184">
        <f>'Scenario 69-19%'!H81</f>
        <v>14.06700591181551</v>
      </c>
      <c r="BD48" s="184"/>
      <c r="BE48" s="184"/>
      <c r="BF48" s="161">
        <f>'Scenario 69-19%'!U81</f>
        <v>-5.426809841541</v>
      </c>
      <c r="BG48" s="86"/>
      <c r="BH48" s="2"/>
      <c r="BI48" s="2"/>
      <c r="BJ48" s="2"/>
      <c r="BK48" s="2"/>
      <c r="BL48" s="2"/>
      <c r="BM48" s="2"/>
      <c r="BN48" s="2"/>
      <c r="BO48" s="2"/>
      <c r="BQ48" s="192">
        <f t="shared" si="145"/>
        <v>2051</v>
      </c>
      <c r="BR48" s="190">
        <f>WAM!C81</f>
        <v>0</v>
      </c>
      <c r="BS48" s="190">
        <f>WAM!D81</f>
        <v>0.5195613861832552</v>
      </c>
      <c r="BT48" s="190">
        <f>WAM!E81</f>
        <v>1.9163107394393294E-2</v>
      </c>
      <c r="BU48" s="190">
        <f>WAM!F81</f>
        <v>14.547718813131146</v>
      </c>
      <c r="BV48" s="190">
        <f>WAM!G81</f>
        <v>5.0782234595142226</v>
      </c>
      <c r="BW48" s="190">
        <f>WAM!H81</f>
        <v>19.625942272645368</v>
      </c>
      <c r="BX48" s="190"/>
      <c r="BY48" s="190"/>
      <c r="BZ48" s="189">
        <f>WAM!U81</f>
        <v>-5.0782234595142244</v>
      </c>
      <c r="CI48" s="98"/>
      <c r="DL48" s="2">
        <f t="shared" si="159"/>
        <v>2057</v>
      </c>
      <c r="DM48">
        <f t="shared" si="160"/>
        <v>1.2567380324375299E-2</v>
      </c>
      <c r="DN48" s="2">
        <f t="shared" si="161"/>
        <v>1.5244999437454785E-2</v>
      </c>
      <c r="DO48">
        <f t="shared" si="162"/>
        <v>1.6948938873050819E-2</v>
      </c>
      <c r="DP48">
        <f t="shared" si="163"/>
        <v>1.8652878308646856E-2</v>
      </c>
      <c r="DQ48">
        <f t="shared" si="164"/>
        <v>2.0478527703928308E-2</v>
      </c>
      <c r="DR48" s="2">
        <f t="shared" si="81"/>
        <v>1.9163107394393294E-2</v>
      </c>
      <c r="DS48" s="86">
        <f t="shared" si="165"/>
        <v>2057</v>
      </c>
      <c r="DT48" s="2">
        <f t="shared" si="166"/>
        <v>-3.3303557859594539</v>
      </c>
      <c r="DU48" s="2">
        <f t="shared" si="167"/>
        <v>-4.0399248509255168</v>
      </c>
      <c r="DV48" s="2">
        <f t="shared" si="168"/>
        <v>-4.4914688013584669</v>
      </c>
      <c r="DW48" s="2">
        <f t="shared" si="169"/>
        <v>-4.9430127517914171</v>
      </c>
      <c r="DX48" s="2">
        <f t="shared" si="170"/>
        <v>-5.426809841541</v>
      </c>
      <c r="DY48">
        <f t="shared" si="88"/>
        <v>-5.0782234595142244</v>
      </c>
      <c r="DZ48">
        <f t="shared" si="171"/>
        <v>2057</v>
      </c>
      <c r="EA48" s="2">
        <f t="shared" si="172"/>
        <v>-58.281226254290459</v>
      </c>
      <c r="EB48" s="2">
        <f t="shared" si="173"/>
        <v>-70.698684891196535</v>
      </c>
      <c r="EC48" s="2">
        <f t="shared" si="174"/>
        <v>-78.600704023773162</v>
      </c>
      <c r="ED48" s="2">
        <f t="shared" si="175"/>
        <v>-86.502723156349774</v>
      </c>
      <c r="EE48" s="2">
        <f t="shared" si="176"/>
        <v>-94.969172226967515</v>
      </c>
      <c r="EF48" s="2">
        <f t="shared" si="176"/>
        <v>-88.868910541498906</v>
      </c>
      <c r="EG48">
        <f t="shared" si="67"/>
        <v>2057</v>
      </c>
      <c r="EH48" s="1">
        <f t="shared" si="93"/>
        <v>-2.6226551814430704E-2</v>
      </c>
      <c r="EI48" s="1">
        <f t="shared" si="94"/>
        <v>-3.1814408201038438E-2</v>
      </c>
      <c r="EJ48" s="1">
        <f t="shared" si="95"/>
        <v>-3.5370316810697924E-2</v>
      </c>
      <c r="EK48" s="1">
        <f t="shared" si="103"/>
        <v>-3.8926225420357397E-2</v>
      </c>
      <c r="EL48" s="1">
        <f t="shared" si="103"/>
        <v>-4.2736127502135381E-2</v>
      </c>
      <c r="EQ48" s="131"/>
      <c r="ER48" s="131"/>
      <c r="ES48" s="131"/>
      <c r="ET48" s="131"/>
      <c r="EU48" s="131"/>
      <c r="EV48" s="2"/>
      <c r="EX48" s="3"/>
    </row>
    <row r="49" spans="1:154" x14ac:dyDescent="0.35">
      <c r="A49">
        <f t="shared" si="133"/>
        <v>2052</v>
      </c>
      <c r="B49" s="162">
        <f t="shared" si="134"/>
        <v>11.88664332288633</v>
      </c>
      <c r="C49" s="79">
        <f t="shared" si="135"/>
        <v>14.46137860704547</v>
      </c>
      <c r="D49" s="173">
        <f t="shared" si="136"/>
        <v>11.60837771378827</v>
      </c>
      <c r="E49" s="179">
        <f t="shared" si="137"/>
        <v>12.795301671456599</v>
      </c>
      <c r="F49" s="184">
        <f t="shared" si="138"/>
        <v>14.06700591181551</v>
      </c>
      <c r="G49" s="2">
        <f t="shared" si="139"/>
        <v>12.963741445398435</v>
      </c>
      <c r="I49" s="158">
        <f>'Scenario 57-40%'!B82</f>
        <v>2052</v>
      </c>
      <c r="J49" s="79">
        <f>'Scenario 57-40%'!C82</f>
        <v>0</v>
      </c>
      <c r="K49" s="79">
        <f>'Scenario 57-40%'!D82</f>
        <v>0.37219477700428399</v>
      </c>
      <c r="L49" s="79">
        <f>'Scenario 57-40%'!E82</f>
        <v>1.5244999437454785E-2</v>
      </c>
      <c r="M49" s="79">
        <f>'Scenario 57-40%'!F82</f>
        <v>10.421453756119952</v>
      </c>
      <c r="N49" s="79">
        <f>'Scenario 57-40%'!G82</f>
        <v>4.0399248509255177</v>
      </c>
      <c r="O49" s="79">
        <f>'Scenario 57-40%'!H82</f>
        <v>14.46137860704547</v>
      </c>
      <c r="P49" s="79"/>
      <c r="Q49" s="79"/>
      <c r="R49" s="79">
        <f>'Scenario 57-40%'!U82</f>
        <v>-4.0399248509255168</v>
      </c>
      <c r="S49" s="157">
        <f t="shared" si="140"/>
        <v>2052</v>
      </c>
      <c r="T49" s="162">
        <f>'Scenario 51-51%'!C82</f>
        <v>0</v>
      </c>
      <c r="U49" s="162">
        <f>'Scenario 51-51%'!D82</f>
        <v>0.30558169774738841</v>
      </c>
      <c r="V49" s="162">
        <f>'Scenario 51-51%'!E82</f>
        <v>1.2567380324375299E-2</v>
      </c>
      <c r="W49" s="162">
        <f>'Scenario 51-51%'!F82</f>
        <v>8.5562875369268756</v>
      </c>
      <c r="X49" s="162">
        <f>'Scenario 51-51%'!G82</f>
        <v>3.3303557859594544</v>
      </c>
      <c r="Y49" s="162">
        <f>'Scenario 51-51%'!H82</f>
        <v>11.88664332288633</v>
      </c>
      <c r="Z49" s="162"/>
      <c r="AA49" s="162"/>
      <c r="AB49" s="157">
        <f>'Scenario 51-51%'!U82</f>
        <v>-3.3303557859594539</v>
      </c>
      <c r="AC49" s="177">
        <f t="shared" si="141"/>
        <v>2052</v>
      </c>
      <c r="AD49" s="173">
        <f>'Scenario 61-33%'!C82</f>
        <v>0</v>
      </c>
      <c r="AE49" s="173">
        <f>'Scenario 61-33%'!D82</f>
        <v>0.41458491834958111</v>
      </c>
      <c r="AF49" s="178">
        <f>'Scenario 61-33%'!E82</f>
        <v>1.6948938873050819E-2</v>
      </c>
      <c r="AG49" s="173">
        <f>'Scenario 61-33%'!F82</f>
        <v>11.608377713788272</v>
      </c>
      <c r="AH49" s="173">
        <f>'Scenario 61-33%'!G82</f>
        <v>4.4914688013584669</v>
      </c>
      <c r="AI49" s="173">
        <f>'Scenario 61-33%'!H82</f>
        <v>11.60837771378827</v>
      </c>
      <c r="AJ49" s="173"/>
      <c r="AK49" s="173"/>
      <c r="AL49" s="159">
        <f>'Scenario 61-33%'!U82</f>
        <v>-4.4914688013584669</v>
      </c>
      <c r="AM49" s="182">
        <f t="shared" si="142"/>
        <v>2052</v>
      </c>
      <c r="AN49" s="179">
        <f>'Scenario 65-25%'!C82</f>
        <v>0</v>
      </c>
      <c r="AO49" s="179">
        <f>'Scenario 65-25%'!D82</f>
        <v>0.45697505969487856</v>
      </c>
      <c r="AP49" s="179">
        <f>'Scenario 65-25%'!E82</f>
        <v>1.8652878308646856E-2</v>
      </c>
      <c r="AQ49" s="179">
        <f>'Scenario 65-25%'!F82</f>
        <v>12.795301671456599</v>
      </c>
      <c r="AR49" s="179">
        <f>'Scenario 65-25%'!G82</f>
        <v>4.9430127517914171</v>
      </c>
      <c r="AS49" s="179">
        <f>'Scenario 65-25%'!H82</f>
        <v>12.795301671456599</v>
      </c>
      <c r="AT49" s="179"/>
      <c r="AU49" s="179"/>
      <c r="AV49" s="160">
        <f>'Scenario 65-25%'!U82</f>
        <v>-4.9430127517914171</v>
      </c>
      <c r="AW49" s="187">
        <f t="shared" si="143"/>
        <v>2052</v>
      </c>
      <c r="AX49" s="184">
        <f>'Scenario 69-19%'!C82</f>
        <v>0</v>
      </c>
      <c r="AY49" s="184">
        <f>'Scenario 69-19%'!D82</f>
        <v>0.50239306827912533</v>
      </c>
      <c r="AZ49" s="184">
        <f>'Scenario 69-19%'!E82</f>
        <v>2.0478527703928308E-2</v>
      </c>
      <c r="BA49" s="184">
        <f>'Scenario 69-19%'!F82</f>
        <v>14.06700591181551</v>
      </c>
      <c r="BB49" s="184">
        <f>'Scenario 69-19%'!G82</f>
        <v>5.4268098415410018</v>
      </c>
      <c r="BC49" s="184">
        <f>'Scenario 69-19%'!H82</f>
        <v>14.06700591181551</v>
      </c>
      <c r="BD49" s="184"/>
      <c r="BE49" s="184"/>
      <c r="BF49" s="161">
        <f>'Scenario 69-19%'!U82</f>
        <v>-5.426809841541</v>
      </c>
      <c r="BG49" s="86"/>
      <c r="BH49" s="2"/>
      <c r="BI49" s="2"/>
      <c r="BJ49" s="2"/>
      <c r="BK49" s="2"/>
      <c r="BL49" s="2"/>
      <c r="BM49" s="2"/>
      <c r="BN49" s="2"/>
      <c r="BO49" s="2"/>
      <c r="BQ49" s="192">
        <f t="shared" si="145"/>
        <v>2052</v>
      </c>
      <c r="BR49" s="190">
        <f>WAM!C82</f>
        <v>0</v>
      </c>
      <c r="BS49" s="190">
        <f>WAM!D82</f>
        <v>0.5195613861832552</v>
      </c>
      <c r="BT49" s="190">
        <f>WAM!E82</f>
        <v>1.9163107394393294E-2</v>
      </c>
      <c r="BU49" s="190">
        <f>WAM!F82</f>
        <v>14.547718813131146</v>
      </c>
      <c r="BV49" s="190">
        <f>WAM!G82</f>
        <v>5.0782234595142226</v>
      </c>
      <c r="BW49" s="190">
        <f>WAM!H82</f>
        <v>19.625942272645368</v>
      </c>
      <c r="BX49" s="190"/>
      <c r="BY49" s="190"/>
      <c r="BZ49" s="189">
        <f>WAM!U82</f>
        <v>-5.0782234595142244</v>
      </c>
      <c r="CI49" s="98"/>
      <c r="DL49" s="2">
        <f t="shared" si="159"/>
        <v>2058</v>
      </c>
      <c r="DM49">
        <f t="shared" si="160"/>
        <v>1.2567380324375299E-2</v>
      </c>
      <c r="DN49" s="2">
        <f t="shared" si="161"/>
        <v>1.5244999437454785E-2</v>
      </c>
      <c r="DO49">
        <f t="shared" si="162"/>
        <v>1.6948938873050819E-2</v>
      </c>
      <c r="DP49">
        <f t="shared" si="163"/>
        <v>1.8652878308646856E-2</v>
      </c>
      <c r="DQ49">
        <f t="shared" si="164"/>
        <v>2.0478527703928308E-2</v>
      </c>
      <c r="DR49" s="2">
        <f t="shared" si="81"/>
        <v>1.9163107394393294E-2</v>
      </c>
      <c r="DS49" s="86">
        <f t="shared" si="165"/>
        <v>2058</v>
      </c>
      <c r="DT49" s="2">
        <f t="shared" si="166"/>
        <v>-3.3303557859594539</v>
      </c>
      <c r="DU49" s="2">
        <f t="shared" si="167"/>
        <v>-4.0399248509255168</v>
      </c>
      <c r="DV49" s="2">
        <f t="shared" si="168"/>
        <v>-4.4914688013584669</v>
      </c>
      <c r="DW49" s="2">
        <f t="shared" si="169"/>
        <v>-4.9430127517914171</v>
      </c>
      <c r="DX49" s="2">
        <f t="shared" si="170"/>
        <v>-5.426809841541</v>
      </c>
      <c r="DY49">
        <f t="shared" si="88"/>
        <v>-5.0782234595142244</v>
      </c>
      <c r="DZ49">
        <f t="shared" si="171"/>
        <v>2058</v>
      </c>
      <c r="EA49" s="2">
        <f t="shared" si="172"/>
        <v>-61.611582040249914</v>
      </c>
      <c r="EB49" s="2">
        <f t="shared" si="173"/>
        <v>-74.738609742122051</v>
      </c>
      <c r="EC49" s="2">
        <f t="shared" si="174"/>
        <v>-83.092172825131627</v>
      </c>
      <c r="ED49" s="2">
        <f t="shared" si="175"/>
        <v>-91.445735908141188</v>
      </c>
      <c r="EE49" s="2">
        <f t="shared" si="176"/>
        <v>-100.39598206850852</v>
      </c>
      <c r="EF49" s="2">
        <f t="shared" si="176"/>
        <v>-93.947134001013126</v>
      </c>
      <c r="EG49">
        <f t="shared" si="67"/>
        <v>2058</v>
      </c>
      <c r="EH49" s="1">
        <f t="shared" si="93"/>
        <v>-2.7725211918112461E-2</v>
      </c>
      <c r="EI49" s="1">
        <f t="shared" si="94"/>
        <v>-3.3632374383954923E-2</v>
      </c>
      <c r="EJ49" s="1">
        <f t="shared" si="95"/>
        <v>-3.7391477771309231E-2</v>
      </c>
      <c r="EK49" s="1">
        <f t="shared" si="103"/>
        <v>-4.1150581158663532E-2</v>
      </c>
      <c r="EL49" s="1">
        <f t="shared" si="103"/>
        <v>-4.517819193082883E-2</v>
      </c>
      <c r="EQ49" s="131"/>
      <c r="ER49" s="131"/>
      <c r="ES49" s="131"/>
      <c r="ET49" s="131"/>
      <c r="EU49" s="131"/>
      <c r="EV49" s="2"/>
      <c r="EX49" s="3"/>
    </row>
    <row r="50" spans="1:154" x14ac:dyDescent="0.35">
      <c r="A50">
        <f t="shared" si="133"/>
        <v>2053</v>
      </c>
      <c r="B50" s="162">
        <f t="shared" si="134"/>
        <v>11.88664332288633</v>
      </c>
      <c r="C50" s="79">
        <f t="shared" si="135"/>
        <v>14.46137860704547</v>
      </c>
      <c r="D50" s="173">
        <f t="shared" si="136"/>
        <v>11.60837771378827</v>
      </c>
      <c r="E50" s="179">
        <f t="shared" si="137"/>
        <v>12.795301671456599</v>
      </c>
      <c r="F50" s="184">
        <f t="shared" si="138"/>
        <v>14.06700591181551</v>
      </c>
      <c r="G50" s="2">
        <f t="shared" si="139"/>
        <v>12.963741445398435</v>
      </c>
      <c r="I50" s="158">
        <f>'Scenario 57-40%'!B83</f>
        <v>2053</v>
      </c>
      <c r="J50" s="79">
        <f>'Scenario 57-40%'!C83</f>
        <v>0</v>
      </c>
      <c r="K50" s="79">
        <f>'Scenario 57-40%'!D83</f>
        <v>0.37219477700428399</v>
      </c>
      <c r="L50" s="79">
        <f>'Scenario 57-40%'!E83</f>
        <v>1.5244999437454785E-2</v>
      </c>
      <c r="M50" s="79">
        <f>'Scenario 57-40%'!F83</f>
        <v>10.421453756119952</v>
      </c>
      <c r="N50" s="79">
        <f>'Scenario 57-40%'!G83</f>
        <v>4.0399248509255177</v>
      </c>
      <c r="O50" s="79">
        <f>'Scenario 57-40%'!H83</f>
        <v>14.46137860704547</v>
      </c>
      <c r="P50" s="79"/>
      <c r="Q50" s="79"/>
      <c r="R50" s="79">
        <f>'Scenario 57-40%'!U83</f>
        <v>-4.0399248509255168</v>
      </c>
      <c r="S50" s="157">
        <f t="shared" si="140"/>
        <v>2053</v>
      </c>
      <c r="T50" s="162">
        <f>'Scenario 51-51%'!C83</f>
        <v>0</v>
      </c>
      <c r="U50" s="162">
        <f>'Scenario 51-51%'!D83</f>
        <v>0.30558169774738841</v>
      </c>
      <c r="V50" s="162">
        <f>'Scenario 51-51%'!E83</f>
        <v>1.2567380324375299E-2</v>
      </c>
      <c r="W50" s="162">
        <f>'Scenario 51-51%'!F83</f>
        <v>8.5562875369268756</v>
      </c>
      <c r="X50" s="162">
        <f>'Scenario 51-51%'!G83</f>
        <v>3.3303557859594544</v>
      </c>
      <c r="Y50" s="162">
        <f>'Scenario 51-51%'!H83</f>
        <v>11.88664332288633</v>
      </c>
      <c r="Z50" s="162"/>
      <c r="AA50" s="162"/>
      <c r="AB50" s="157">
        <f>'Scenario 51-51%'!U83</f>
        <v>-3.3303557859594539</v>
      </c>
      <c r="AC50" s="177">
        <f t="shared" si="141"/>
        <v>2053</v>
      </c>
      <c r="AD50" s="173">
        <f>'Scenario 61-33%'!C83</f>
        <v>0</v>
      </c>
      <c r="AE50" s="173">
        <f>'Scenario 61-33%'!D83</f>
        <v>0.41458491834958111</v>
      </c>
      <c r="AF50" s="178">
        <f>'Scenario 61-33%'!E83</f>
        <v>1.6948938873050819E-2</v>
      </c>
      <c r="AG50" s="173">
        <f>'Scenario 61-33%'!F83</f>
        <v>11.608377713788272</v>
      </c>
      <c r="AH50" s="173">
        <f>'Scenario 61-33%'!G83</f>
        <v>4.4914688013584669</v>
      </c>
      <c r="AI50" s="173">
        <f>'Scenario 61-33%'!H83</f>
        <v>11.60837771378827</v>
      </c>
      <c r="AJ50" s="173"/>
      <c r="AK50" s="173"/>
      <c r="AL50" s="159">
        <f>'Scenario 61-33%'!U83</f>
        <v>-4.4914688013584669</v>
      </c>
      <c r="AM50" s="182">
        <f t="shared" si="142"/>
        <v>2053</v>
      </c>
      <c r="AN50" s="179">
        <f>'Scenario 65-25%'!C83</f>
        <v>0</v>
      </c>
      <c r="AO50" s="179">
        <f>'Scenario 65-25%'!D83</f>
        <v>0.45697505969487856</v>
      </c>
      <c r="AP50" s="179">
        <f>'Scenario 65-25%'!E83</f>
        <v>1.8652878308646856E-2</v>
      </c>
      <c r="AQ50" s="179">
        <f>'Scenario 65-25%'!F83</f>
        <v>12.795301671456599</v>
      </c>
      <c r="AR50" s="179">
        <f>'Scenario 65-25%'!G83</f>
        <v>4.9430127517914171</v>
      </c>
      <c r="AS50" s="179">
        <f>'Scenario 65-25%'!H83</f>
        <v>12.795301671456599</v>
      </c>
      <c r="AT50" s="179"/>
      <c r="AU50" s="179"/>
      <c r="AV50" s="160">
        <f>'Scenario 65-25%'!U83</f>
        <v>-4.9430127517914171</v>
      </c>
      <c r="AW50" s="187">
        <f t="shared" si="143"/>
        <v>2053</v>
      </c>
      <c r="AX50" s="184">
        <f>'Scenario 69-19%'!C83</f>
        <v>0</v>
      </c>
      <c r="AY50" s="184">
        <f>'Scenario 69-19%'!D83</f>
        <v>0.50239306827912533</v>
      </c>
      <c r="AZ50" s="184">
        <f>'Scenario 69-19%'!E83</f>
        <v>2.0478527703928308E-2</v>
      </c>
      <c r="BA50" s="184">
        <f>'Scenario 69-19%'!F83</f>
        <v>14.06700591181551</v>
      </c>
      <c r="BB50" s="184">
        <f>'Scenario 69-19%'!G83</f>
        <v>5.4268098415410018</v>
      </c>
      <c r="BC50" s="184">
        <f>'Scenario 69-19%'!H83</f>
        <v>14.06700591181551</v>
      </c>
      <c r="BD50" s="184"/>
      <c r="BE50" s="184"/>
      <c r="BF50" s="161">
        <f>'Scenario 69-19%'!U83</f>
        <v>-5.426809841541</v>
      </c>
      <c r="BG50" s="86"/>
      <c r="BH50" s="2"/>
      <c r="BI50" s="2"/>
      <c r="BJ50" s="2"/>
      <c r="BK50" s="2"/>
      <c r="BL50" s="2"/>
      <c r="BM50" s="2"/>
      <c r="BN50" s="2"/>
      <c r="BO50" s="2"/>
      <c r="BQ50" s="192">
        <f t="shared" si="145"/>
        <v>2053</v>
      </c>
      <c r="BR50" s="190">
        <f>WAM!C83</f>
        <v>0</v>
      </c>
      <c r="BS50" s="190">
        <f>WAM!D83</f>
        <v>0.5195613861832552</v>
      </c>
      <c r="BT50" s="190">
        <f>WAM!E83</f>
        <v>1.9163107394393294E-2</v>
      </c>
      <c r="BU50" s="190">
        <f>WAM!F83</f>
        <v>14.547718813131146</v>
      </c>
      <c r="BV50" s="190">
        <f>WAM!G83</f>
        <v>5.0782234595142226</v>
      </c>
      <c r="BW50" s="190">
        <f>WAM!H83</f>
        <v>19.625942272645368</v>
      </c>
      <c r="BX50" s="190"/>
      <c r="BY50" s="190"/>
      <c r="BZ50" s="189">
        <f>WAM!U83</f>
        <v>-5.0782234595142244</v>
      </c>
      <c r="CI50" s="98"/>
      <c r="DL50" s="2">
        <f t="shared" si="159"/>
        <v>2059</v>
      </c>
      <c r="DM50">
        <f t="shared" si="160"/>
        <v>1.2567380324375299E-2</v>
      </c>
      <c r="DN50" s="2">
        <f t="shared" si="161"/>
        <v>1.5244999437454785E-2</v>
      </c>
      <c r="DO50">
        <f t="shared" si="162"/>
        <v>1.6948938873050819E-2</v>
      </c>
      <c r="DP50">
        <f t="shared" si="163"/>
        <v>1.8652878308646856E-2</v>
      </c>
      <c r="DQ50">
        <f t="shared" si="164"/>
        <v>2.0478527703928308E-2</v>
      </c>
      <c r="DR50" s="2">
        <f t="shared" si="81"/>
        <v>1.9163107394393294E-2</v>
      </c>
      <c r="DS50" s="86">
        <f t="shared" si="165"/>
        <v>2059</v>
      </c>
      <c r="DT50" s="2">
        <f t="shared" si="166"/>
        <v>-3.3303557859594539</v>
      </c>
      <c r="DU50" s="2">
        <f t="shared" si="167"/>
        <v>-4.0399248509255168</v>
      </c>
      <c r="DV50" s="2">
        <f t="shared" si="168"/>
        <v>-4.4914688013584669</v>
      </c>
      <c r="DW50" s="2">
        <f t="shared" si="169"/>
        <v>-4.9430127517914171</v>
      </c>
      <c r="DX50" s="2">
        <f t="shared" si="170"/>
        <v>-5.426809841541</v>
      </c>
      <c r="DY50">
        <f t="shared" si="88"/>
        <v>-5.0782234595142244</v>
      </c>
      <c r="DZ50">
        <f t="shared" si="171"/>
        <v>2059</v>
      </c>
      <c r="EA50" s="2">
        <f t="shared" si="172"/>
        <v>-64.941937826209369</v>
      </c>
      <c r="EB50" s="2">
        <f t="shared" si="173"/>
        <v>-78.778534593047567</v>
      </c>
      <c r="EC50" s="2">
        <f t="shared" si="174"/>
        <v>-87.583641626490092</v>
      </c>
      <c r="ED50" s="2">
        <f t="shared" si="175"/>
        <v>-96.388748659932602</v>
      </c>
      <c r="EE50" s="2">
        <f t="shared" si="176"/>
        <v>-105.82279191004952</v>
      </c>
      <c r="EF50" s="2">
        <f t="shared" si="176"/>
        <v>-99.025357460527346</v>
      </c>
      <c r="EG50">
        <f t="shared" si="67"/>
        <v>2059</v>
      </c>
      <c r="EH50" s="1">
        <f t="shared" si="93"/>
        <v>-2.9223872021794214E-2</v>
      </c>
      <c r="EI50" s="1">
        <f t="shared" si="94"/>
        <v>-3.5450340566871401E-2</v>
      </c>
      <c r="EJ50" s="1">
        <f t="shared" si="95"/>
        <v>-3.9412638731920538E-2</v>
      </c>
      <c r="EK50" s="1">
        <f t="shared" si="103"/>
        <v>-4.3374936896969668E-2</v>
      </c>
      <c r="EL50" s="1">
        <f t="shared" si="103"/>
        <v>-4.762025635952228E-2</v>
      </c>
      <c r="EQ50" s="131"/>
      <c r="ER50" s="131"/>
      <c r="ES50" s="131"/>
      <c r="ET50" s="131"/>
      <c r="EU50" s="131"/>
      <c r="EV50" s="2"/>
      <c r="EX50" s="3"/>
    </row>
    <row r="51" spans="1:154" x14ac:dyDescent="0.35">
      <c r="A51">
        <f t="shared" si="133"/>
        <v>2054</v>
      </c>
      <c r="B51" s="162">
        <f t="shared" si="134"/>
        <v>11.88664332288633</v>
      </c>
      <c r="C51" s="79">
        <f t="shared" si="135"/>
        <v>14.46137860704547</v>
      </c>
      <c r="D51" s="173">
        <f t="shared" si="136"/>
        <v>11.60837771378827</v>
      </c>
      <c r="E51" s="179">
        <f t="shared" si="137"/>
        <v>12.795301671456599</v>
      </c>
      <c r="F51" s="184">
        <f t="shared" si="138"/>
        <v>14.06700591181551</v>
      </c>
      <c r="G51" s="2">
        <f t="shared" si="139"/>
        <v>12.963741445398435</v>
      </c>
      <c r="I51" s="158">
        <f>'Scenario 57-40%'!B84</f>
        <v>2054</v>
      </c>
      <c r="J51" s="79">
        <f>'Scenario 57-40%'!C84</f>
        <v>0</v>
      </c>
      <c r="K51" s="79">
        <f>'Scenario 57-40%'!D84</f>
        <v>0.37219477700428399</v>
      </c>
      <c r="L51" s="79">
        <f>'Scenario 57-40%'!E84</f>
        <v>1.5244999437454785E-2</v>
      </c>
      <c r="M51" s="79">
        <f>'Scenario 57-40%'!F84</f>
        <v>10.421453756119952</v>
      </c>
      <c r="N51" s="79">
        <f>'Scenario 57-40%'!G84</f>
        <v>4.0399248509255177</v>
      </c>
      <c r="O51" s="79">
        <f>'Scenario 57-40%'!H84</f>
        <v>14.46137860704547</v>
      </c>
      <c r="P51" s="79"/>
      <c r="Q51" s="79"/>
      <c r="R51" s="79">
        <f>'Scenario 57-40%'!U84</f>
        <v>-4.0399248509255168</v>
      </c>
      <c r="S51" s="157">
        <f t="shared" si="140"/>
        <v>2054</v>
      </c>
      <c r="T51" s="162">
        <f>'Scenario 51-51%'!C84</f>
        <v>0</v>
      </c>
      <c r="U51" s="162">
        <f>'Scenario 51-51%'!D84</f>
        <v>0.30558169774738841</v>
      </c>
      <c r="V51" s="162">
        <f>'Scenario 51-51%'!E84</f>
        <v>1.2567380324375299E-2</v>
      </c>
      <c r="W51" s="162">
        <f>'Scenario 51-51%'!F84</f>
        <v>8.5562875369268756</v>
      </c>
      <c r="X51" s="162">
        <f>'Scenario 51-51%'!G84</f>
        <v>3.3303557859594544</v>
      </c>
      <c r="Y51" s="162">
        <f>'Scenario 51-51%'!H84</f>
        <v>11.88664332288633</v>
      </c>
      <c r="Z51" s="162"/>
      <c r="AA51" s="162"/>
      <c r="AB51" s="157">
        <f>'Scenario 51-51%'!U84</f>
        <v>-3.3303557859594539</v>
      </c>
      <c r="AC51" s="177">
        <f t="shared" si="141"/>
        <v>2054</v>
      </c>
      <c r="AD51" s="173">
        <f>'Scenario 61-33%'!C84</f>
        <v>0</v>
      </c>
      <c r="AE51" s="173">
        <f>'Scenario 61-33%'!D84</f>
        <v>0.41458491834958111</v>
      </c>
      <c r="AF51" s="178">
        <f>'Scenario 61-33%'!E84</f>
        <v>1.6948938873050819E-2</v>
      </c>
      <c r="AG51" s="173">
        <f>'Scenario 61-33%'!F84</f>
        <v>11.608377713788272</v>
      </c>
      <c r="AH51" s="173">
        <f>'Scenario 61-33%'!G84</f>
        <v>4.4914688013584669</v>
      </c>
      <c r="AI51" s="173">
        <f>'Scenario 61-33%'!H84</f>
        <v>11.60837771378827</v>
      </c>
      <c r="AJ51" s="173"/>
      <c r="AK51" s="173"/>
      <c r="AL51" s="159">
        <f>'Scenario 61-33%'!U84</f>
        <v>-4.4914688013584669</v>
      </c>
      <c r="AM51" s="182">
        <f t="shared" si="142"/>
        <v>2054</v>
      </c>
      <c r="AN51" s="179">
        <f>'Scenario 65-25%'!C84</f>
        <v>0</v>
      </c>
      <c r="AO51" s="179">
        <f>'Scenario 65-25%'!D84</f>
        <v>0.45697505969487856</v>
      </c>
      <c r="AP51" s="179">
        <f>'Scenario 65-25%'!E84</f>
        <v>1.8652878308646856E-2</v>
      </c>
      <c r="AQ51" s="179">
        <f>'Scenario 65-25%'!F84</f>
        <v>12.795301671456599</v>
      </c>
      <c r="AR51" s="179">
        <f>'Scenario 65-25%'!G84</f>
        <v>4.9430127517914171</v>
      </c>
      <c r="AS51" s="179">
        <f>'Scenario 65-25%'!H84</f>
        <v>12.795301671456599</v>
      </c>
      <c r="AT51" s="179"/>
      <c r="AU51" s="179"/>
      <c r="AV51" s="160">
        <f>'Scenario 65-25%'!U84</f>
        <v>-4.9430127517914171</v>
      </c>
      <c r="AW51" s="187">
        <f t="shared" si="143"/>
        <v>2054</v>
      </c>
      <c r="AX51" s="184">
        <f>'Scenario 69-19%'!C84</f>
        <v>0</v>
      </c>
      <c r="AY51" s="184">
        <f>'Scenario 69-19%'!D84</f>
        <v>0.50239306827912533</v>
      </c>
      <c r="AZ51" s="184">
        <f>'Scenario 69-19%'!E84</f>
        <v>2.0478527703928308E-2</v>
      </c>
      <c r="BA51" s="184">
        <f>'Scenario 69-19%'!F84</f>
        <v>14.06700591181551</v>
      </c>
      <c r="BB51" s="184">
        <f>'Scenario 69-19%'!G84</f>
        <v>5.4268098415410018</v>
      </c>
      <c r="BC51" s="184">
        <f>'Scenario 69-19%'!H84</f>
        <v>14.06700591181551</v>
      </c>
      <c r="BD51" s="184"/>
      <c r="BE51" s="184"/>
      <c r="BF51" s="161">
        <f>'Scenario 69-19%'!U84</f>
        <v>-5.426809841541</v>
      </c>
      <c r="BG51" s="86"/>
      <c r="BH51" s="2"/>
      <c r="BI51" s="2"/>
      <c r="BJ51" s="2"/>
      <c r="BK51" s="2"/>
      <c r="BL51" s="2"/>
      <c r="BM51" s="2"/>
      <c r="BN51" s="2"/>
      <c r="BO51" s="2"/>
      <c r="BQ51" s="192">
        <f t="shared" si="145"/>
        <v>2054</v>
      </c>
      <c r="BR51" s="190">
        <f>WAM!C84</f>
        <v>0</v>
      </c>
      <c r="BS51" s="190">
        <f>WAM!D84</f>
        <v>0.5195613861832552</v>
      </c>
      <c r="BT51" s="190">
        <f>WAM!E84</f>
        <v>1.9163107394393294E-2</v>
      </c>
      <c r="BU51" s="190">
        <f>WAM!F84</f>
        <v>14.547718813131146</v>
      </c>
      <c r="BV51" s="190">
        <f>WAM!G84</f>
        <v>5.0782234595142226</v>
      </c>
      <c r="BW51" s="190">
        <f>WAM!H84</f>
        <v>19.625942272645368</v>
      </c>
      <c r="BX51" s="190"/>
      <c r="BY51" s="190"/>
      <c r="BZ51" s="189">
        <f>WAM!U84</f>
        <v>-5.0782234595142244</v>
      </c>
      <c r="CI51" s="98"/>
      <c r="DL51" s="2">
        <f t="shared" si="159"/>
        <v>2060</v>
      </c>
      <c r="DM51">
        <f t="shared" si="160"/>
        <v>1.2567380324375299E-2</v>
      </c>
      <c r="DN51" s="2">
        <f t="shared" si="161"/>
        <v>1.5244999437454785E-2</v>
      </c>
      <c r="DO51">
        <f t="shared" si="162"/>
        <v>1.6948938873050819E-2</v>
      </c>
      <c r="DP51">
        <f t="shared" si="163"/>
        <v>1.8652878308646856E-2</v>
      </c>
      <c r="DQ51">
        <f t="shared" si="164"/>
        <v>2.0478527703928308E-2</v>
      </c>
      <c r="DR51" s="2">
        <f t="shared" si="81"/>
        <v>1.9163107394393294E-2</v>
      </c>
      <c r="DS51" s="86">
        <f t="shared" si="165"/>
        <v>2060</v>
      </c>
      <c r="DT51" s="2">
        <f t="shared" si="166"/>
        <v>-3.3303557859594539</v>
      </c>
      <c r="DU51" s="2">
        <f t="shared" si="167"/>
        <v>-4.0399248509255168</v>
      </c>
      <c r="DV51" s="2">
        <f t="shared" si="168"/>
        <v>-4.4914688013584669</v>
      </c>
      <c r="DW51" s="2">
        <f t="shared" si="169"/>
        <v>-4.9430127517914171</v>
      </c>
      <c r="DX51" s="2">
        <f t="shared" si="170"/>
        <v>-5.426809841541</v>
      </c>
      <c r="DY51">
        <f t="shared" si="88"/>
        <v>-5.0782234595142244</v>
      </c>
      <c r="DZ51">
        <f t="shared" si="171"/>
        <v>2060</v>
      </c>
      <c r="EA51" s="2">
        <f t="shared" si="172"/>
        <v>-68.272293612168824</v>
      </c>
      <c r="EB51" s="2">
        <f t="shared" si="173"/>
        <v>-82.818459443973083</v>
      </c>
      <c r="EC51" s="2">
        <f t="shared" si="174"/>
        <v>-92.075110427848557</v>
      </c>
      <c r="ED51" s="2">
        <f t="shared" si="175"/>
        <v>-101.33176141172402</v>
      </c>
      <c r="EE51" s="2">
        <f t="shared" si="176"/>
        <v>-111.24960175159052</v>
      </c>
      <c r="EF51" s="2">
        <f t="shared" si="176"/>
        <v>-104.10358092004157</v>
      </c>
      <c r="EG51">
        <f t="shared" si="67"/>
        <v>2060</v>
      </c>
      <c r="EH51" s="1">
        <f t="shared" si="93"/>
        <v>-3.072253212547597E-2</v>
      </c>
      <c r="EI51" s="1">
        <f t="shared" si="94"/>
        <v>-3.7268306749787886E-2</v>
      </c>
      <c r="EJ51" s="1">
        <f t="shared" si="95"/>
        <v>-4.1433799692531852E-2</v>
      </c>
      <c r="EK51" s="1">
        <f t="shared" si="103"/>
        <v>-4.5599292635275804E-2</v>
      </c>
      <c r="EL51" s="1">
        <f t="shared" si="103"/>
        <v>-5.0062320788215729E-2</v>
      </c>
      <c r="EQ51" s="131"/>
      <c r="ER51" s="131"/>
      <c r="ES51" s="131"/>
      <c r="ET51" s="131"/>
      <c r="EU51" s="131"/>
      <c r="EV51" s="2"/>
      <c r="EX51" s="3"/>
    </row>
    <row r="52" spans="1:154" x14ac:dyDescent="0.35">
      <c r="A52">
        <f t="shared" si="133"/>
        <v>2055</v>
      </c>
      <c r="B52" s="162">
        <f t="shared" si="134"/>
        <v>11.88664332288633</v>
      </c>
      <c r="C52" s="79">
        <f t="shared" si="135"/>
        <v>14.46137860704547</v>
      </c>
      <c r="D52" s="173">
        <f t="shared" si="136"/>
        <v>11.60837771378827</v>
      </c>
      <c r="E52" s="179">
        <f t="shared" si="137"/>
        <v>12.795301671456599</v>
      </c>
      <c r="F52" s="184">
        <f t="shared" si="138"/>
        <v>14.06700591181551</v>
      </c>
      <c r="G52" s="2">
        <f t="shared" si="139"/>
        <v>12.963741445398435</v>
      </c>
      <c r="I52" s="158">
        <f>'Scenario 57-40%'!B85</f>
        <v>2055</v>
      </c>
      <c r="J52" s="79">
        <f>'Scenario 57-40%'!C85</f>
        <v>0</v>
      </c>
      <c r="K52" s="79">
        <f>'Scenario 57-40%'!D85</f>
        <v>0.37219477700428399</v>
      </c>
      <c r="L52" s="79">
        <f>'Scenario 57-40%'!E85</f>
        <v>1.5244999437454785E-2</v>
      </c>
      <c r="M52" s="79">
        <f>'Scenario 57-40%'!F85</f>
        <v>10.421453756119952</v>
      </c>
      <c r="N52" s="79">
        <f>'Scenario 57-40%'!G85</f>
        <v>4.0399248509255177</v>
      </c>
      <c r="O52" s="79">
        <f>'Scenario 57-40%'!H85</f>
        <v>14.46137860704547</v>
      </c>
      <c r="P52" s="79"/>
      <c r="Q52" s="79"/>
      <c r="R52" s="79">
        <f>'Scenario 57-40%'!U85</f>
        <v>-4.0399248509255168</v>
      </c>
      <c r="S52" s="157">
        <f t="shared" si="140"/>
        <v>2055</v>
      </c>
      <c r="T52" s="162">
        <f>'Scenario 51-51%'!C85</f>
        <v>0</v>
      </c>
      <c r="U52" s="162">
        <f>'Scenario 51-51%'!D85</f>
        <v>0.30558169774738841</v>
      </c>
      <c r="V52" s="162">
        <f>'Scenario 51-51%'!E85</f>
        <v>1.2567380324375299E-2</v>
      </c>
      <c r="W52" s="162">
        <f>'Scenario 51-51%'!F85</f>
        <v>8.5562875369268756</v>
      </c>
      <c r="X52" s="162">
        <f>'Scenario 51-51%'!G85</f>
        <v>3.3303557859594544</v>
      </c>
      <c r="Y52" s="162">
        <f>'Scenario 51-51%'!H85</f>
        <v>11.88664332288633</v>
      </c>
      <c r="Z52" s="162"/>
      <c r="AA52" s="162"/>
      <c r="AB52" s="157">
        <f>'Scenario 51-51%'!U85</f>
        <v>-3.3303557859594539</v>
      </c>
      <c r="AC52" s="177">
        <f t="shared" si="141"/>
        <v>2055</v>
      </c>
      <c r="AD52" s="173">
        <f>'Scenario 61-33%'!C85</f>
        <v>0</v>
      </c>
      <c r="AE52" s="173">
        <f>'Scenario 61-33%'!D85</f>
        <v>0.41458491834958111</v>
      </c>
      <c r="AF52" s="178">
        <f>'Scenario 61-33%'!E85</f>
        <v>1.6948938873050819E-2</v>
      </c>
      <c r="AG52" s="173">
        <f>'Scenario 61-33%'!F85</f>
        <v>11.608377713788272</v>
      </c>
      <c r="AH52" s="173">
        <f>'Scenario 61-33%'!G85</f>
        <v>4.4914688013584669</v>
      </c>
      <c r="AI52" s="173">
        <f>'Scenario 61-33%'!H85</f>
        <v>11.60837771378827</v>
      </c>
      <c r="AJ52" s="173"/>
      <c r="AK52" s="173"/>
      <c r="AL52" s="159">
        <f>'Scenario 61-33%'!U85</f>
        <v>-4.4914688013584669</v>
      </c>
      <c r="AM52" s="182">
        <f t="shared" si="142"/>
        <v>2055</v>
      </c>
      <c r="AN52" s="179">
        <f>'Scenario 65-25%'!C85</f>
        <v>0</v>
      </c>
      <c r="AO52" s="179">
        <f>'Scenario 65-25%'!D85</f>
        <v>0.45697505969487856</v>
      </c>
      <c r="AP52" s="179">
        <f>'Scenario 65-25%'!E85</f>
        <v>1.8652878308646856E-2</v>
      </c>
      <c r="AQ52" s="179">
        <f>'Scenario 65-25%'!F85</f>
        <v>12.795301671456599</v>
      </c>
      <c r="AR52" s="179">
        <f>'Scenario 65-25%'!G85</f>
        <v>4.9430127517914171</v>
      </c>
      <c r="AS52" s="179">
        <f>'Scenario 65-25%'!H85</f>
        <v>12.795301671456599</v>
      </c>
      <c r="AT52" s="179"/>
      <c r="AU52" s="179"/>
      <c r="AV52" s="160">
        <f>'Scenario 65-25%'!U85</f>
        <v>-4.9430127517914171</v>
      </c>
      <c r="AW52" s="187">
        <f t="shared" si="143"/>
        <v>2055</v>
      </c>
      <c r="AX52" s="184">
        <f>'Scenario 69-19%'!C85</f>
        <v>0</v>
      </c>
      <c r="AY52" s="184">
        <f>'Scenario 69-19%'!D85</f>
        <v>0.50239306827912533</v>
      </c>
      <c r="AZ52" s="184">
        <f>'Scenario 69-19%'!E85</f>
        <v>2.0478527703928308E-2</v>
      </c>
      <c r="BA52" s="184">
        <f>'Scenario 69-19%'!F85</f>
        <v>14.06700591181551</v>
      </c>
      <c r="BB52" s="184">
        <f>'Scenario 69-19%'!G85</f>
        <v>5.4268098415410018</v>
      </c>
      <c r="BC52" s="184">
        <f>'Scenario 69-19%'!H85</f>
        <v>14.06700591181551</v>
      </c>
      <c r="BD52" s="184"/>
      <c r="BE52" s="184"/>
      <c r="BF52" s="161">
        <f>'Scenario 69-19%'!U85</f>
        <v>-5.426809841541</v>
      </c>
      <c r="BG52" s="86"/>
      <c r="BH52" s="2"/>
      <c r="BI52" s="2"/>
      <c r="BJ52" s="2"/>
      <c r="BK52" s="2"/>
      <c r="BL52" s="2"/>
      <c r="BM52" s="2"/>
      <c r="BN52" s="2"/>
      <c r="BO52" s="2"/>
      <c r="BQ52" s="192">
        <f t="shared" si="145"/>
        <v>2055</v>
      </c>
      <c r="BR52" s="190">
        <f>WAM!C85</f>
        <v>0</v>
      </c>
      <c r="BS52" s="190">
        <f>WAM!D85</f>
        <v>0.5195613861832552</v>
      </c>
      <c r="BT52" s="190">
        <f>WAM!E85</f>
        <v>1.9163107394393294E-2</v>
      </c>
      <c r="BU52" s="190">
        <f>WAM!F85</f>
        <v>14.547718813131146</v>
      </c>
      <c r="BV52" s="190">
        <f>WAM!G85</f>
        <v>5.0782234595142226</v>
      </c>
      <c r="BW52" s="190">
        <f>WAM!H85</f>
        <v>19.625942272645368</v>
      </c>
      <c r="BX52" s="190"/>
      <c r="BY52" s="190"/>
      <c r="BZ52" s="189">
        <f>WAM!U85</f>
        <v>-5.0782234595142244</v>
      </c>
      <c r="CI52" s="98"/>
      <c r="DL52" s="2"/>
      <c r="DN52" s="2"/>
      <c r="DS52" s="86"/>
      <c r="DT52" s="2"/>
      <c r="DU52" s="2"/>
      <c r="DV52" s="2"/>
      <c r="DW52" s="2"/>
      <c r="DX52" s="2"/>
      <c r="EA52" s="2"/>
      <c r="EB52" s="2"/>
      <c r="EC52" s="2"/>
      <c r="ED52" s="2"/>
      <c r="EE52" s="2"/>
      <c r="EQ52" s="131"/>
      <c r="ER52" s="131"/>
      <c r="ES52" s="131"/>
      <c r="ET52" s="131"/>
      <c r="EU52" s="131"/>
      <c r="EV52" s="2"/>
      <c r="EX52" s="3"/>
    </row>
    <row r="53" spans="1:154" x14ac:dyDescent="0.35">
      <c r="A53">
        <f t="shared" si="133"/>
        <v>2056</v>
      </c>
      <c r="B53" s="162">
        <f t="shared" si="134"/>
        <v>11.88664332288633</v>
      </c>
      <c r="C53" s="79">
        <f t="shared" si="135"/>
        <v>14.46137860704547</v>
      </c>
      <c r="D53" s="173">
        <f t="shared" si="136"/>
        <v>11.60837771378827</v>
      </c>
      <c r="E53" s="179">
        <f t="shared" si="137"/>
        <v>12.795301671456599</v>
      </c>
      <c r="F53" s="184">
        <f t="shared" si="138"/>
        <v>14.06700591181551</v>
      </c>
      <c r="G53" s="2">
        <f t="shared" si="139"/>
        <v>12.963741445398435</v>
      </c>
      <c r="I53" s="158">
        <f>'Scenario 57-40%'!B86</f>
        <v>2056</v>
      </c>
      <c r="J53" s="79">
        <f>'Scenario 57-40%'!C86</f>
        <v>0</v>
      </c>
      <c r="K53" s="79">
        <f>'Scenario 57-40%'!D86</f>
        <v>0.37219477700428399</v>
      </c>
      <c r="L53" s="79">
        <f>'Scenario 57-40%'!E86</f>
        <v>1.5244999437454785E-2</v>
      </c>
      <c r="M53" s="79">
        <f>'Scenario 57-40%'!F86</f>
        <v>10.421453756119952</v>
      </c>
      <c r="N53" s="79">
        <f>'Scenario 57-40%'!G86</f>
        <v>4.0399248509255177</v>
      </c>
      <c r="O53" s="79">
        <f>'Scenario 57-40%'!H86</f>
        <v>14.46137860704547</v>
      </c>
      <c r="P53" s="79"/>
      <c r="Q53" s="79"/>
      <c r="R53" s="79">
        <f>'Scenario 57-40%'!U86</f>
        <v>-4.0399248509255168</v>
      </c>
      <c r="S53" s="157">
        <f t="shared" si="140"/>
        <v>2056</v>
      </c>
      <c r="T53" s="162">
        <f>'Scenario 51-51%'!C86</f>
        <v>0</v>
      </c>
      <c r="U53" s="162">
        <f>'Scenario 51-51%'!D86</f>
        <v>0.30558169774738841</v>
      </c>
      <c r="V53" s="162">
        <f>'Scenario 51-51%'!E86</f>
        <v>1.2567380324375299E-2</v>
      </c>
      <c r="W53" s="162">
        <f>'Scenario 51-51%'!F86</f>
        <v>8.5562875369268756</v>
      </c>
      <c r="X53" s="162">
        <f>'Scenario 51-51%'!G86</f>
        <v>3.3303557859594544</v>
      </c>
      <c r="Y53" s="162">
        <f>'Scenario 51-51%'!H86</f>
        <v>11.88664332288633</v>
      </c>
      <c r="Z53" s="162"/>
      <c r="AA53" s="162"/>
      <c r="AB53" s="157">
        <f>'Scenario 51-51%'!U86</f>
        <v>-3.3303557859594539</v>
      </c>
      <c r="AC53" s="177">
        <f t="shared" si="141"/>
        <v>2056</v>
      </c>
      <c r="AD53" s="173">
        <f>'Scenario 61-33%'!C86</f>
        <v>0</v>
      </c>
      <c r="AE53" s="173">
        <f>'Scenario 61-33%'!D86</f>
        <v>0.41458491834958111</v>
      </c>
      <c r="AF53" s="178">
        <f>'Scenario 61-33%'!E86</f>
        <v>1.6948938873050819E-2</v>
      </c>
      <c r="AG53" s="173">
        <f>'Scenario 61-33%'!F86</f>
        <v>11.608377713788272</v>
      </c>
      <c r="AH53" s="173">
        <f>'Scenario 61-33%'!G86</f>
        <v>4.4914688013584669</v>
      </c>
      <c r="AI53" s="173">
        <f>'Scenario 61-33%'!H86</f>
        <v>11.60837771378827</v>
      </c>
      <c r="AJ53" s="173"/>
      <c r="AK53" s="173"/>
      <c r="AL53" s="159">
        <f>'Scenario 61-33%'!U86</f>
        <v>-4.4914688013584669</v>
      </c>
      <c r="AM53" s="182">
        <f t="shared" si="142"/>
        <v>2056</v>
      </c>
      <c r="AN53" s="179">
        <f>'Scenario 65-25%'!C86</f>
        <v>0</v>
      </c>
      <c r="AO53" s="179">
        <f>'Scenario 65-25%'!D86</f>
        <v>0.45697505969487856</v>
      </c>
      <c r="AP53" s="179">
        <f>'Scenario 65-25%'!E86</f>
        <v>1.8652878308646856E-2</v>
      </c>
      <c r="AQ53" s="179">
        <f>'Scenario 65-25%'!F86</f>
        <v>12.795301671456599</v>
      </c>
      <c r="AR53" s="179">
        <f>'Scenario 65-25%'!G86</f>
        <v>4.9430127517914171</v>
      </c>
      <c r="AS53" s="179">
        <f>'Scenario 65-25%'!H86</f>
        <v>12.795301671456599</v>
      </c>
      <c r="AT53" s="179"/>
      <c r="AU53" s="179"/>
      <c r="AV53" s="160">
        <f>'Scenario 65-25%'!U86</f>
        <v>-4.9430127517914171</v>
      </c>
      <c r="AW53" s="187">
        <f t="shared" si="143"/>
        <v>2056</v>
      </c>
      <c r="AX53" s="184">
        <f>'Scenario 69-19%'!C86</f>
        <v>0</v>
      </c>
      <c r="AY53" s="184">
        <f>'Scenario 69-19%'!D86</f>
        <v>0.50239306827912533</v>
      </c>
      <c r="AZ53" s="184">
        <f>'Scenario 69-19%'!E86</f>
        <v>2.0478527703928308E-2</v>
      </c>
      <c r="BA53" s="184">
        <f>'Scenario 69-19%'!F86</f>
        <v>14.06700591181551</v>
      </c>
      <c r="BB53" s="184">
        <f>'Scenario 69-19%'!G86</f>
        <v>5.4268098415410018</v>
      </c>
      <c r="BC53" s="184">
        <f>'Scenario 69-19%'!H86</f>
        <v>14.06700591181551</v>
      </c>
      <c r="BD53" s="184"/>
      <c r="BE53" s="184"/>
      <c r="BF53" s="161">
        <f>'Scenario 69-19%'!U86</f>
        <v>-5.426809841541</v>
      </c>
      <c r="BG53" s="86"/>
      <c r="BH53" s="2"/>
      <c r="BI53" s="2"/>
      <c r="BJ53" s="2"/>
      <c r="BK53" s="2"/>
      <c r="BL53" s="2"/>
      <c r="BM53" s="2"/>
      <c r="BN53" s="2"/>
      <c r="BO53" s="2"/>
      <c r="BQ53" s="192">
        <f t="shared" si="145"/>
        <v>2056</v>
      </c>
      <c r="BR53" s="190">
        <f>WAM!C86</f>
        <v>0</v>
      </c>
      <c r="BS53" s="190">
        <f>WAM!D86</f>
        <v>0.5195613861832552</v>
      </c>
      <c r="BT53" s="190">
        <f>WAM!E86</f>
        <v>1.9163107394393294E-2</v>
      </c>
      <c r="BU53" s="190">
        <f>WAM!F86</f>
        <v>14.547718813131146</v>
      </c>
      <c r="BV53" s="190">
        <f>WAM!G86</f>
        <v>5.0782234595142226</v>
      </c>
      <c r="BW53" s="190">
        <f>WAM!H86</f>
        <v>19.625942272645368</v>
      </c>
      <c r="BX53" s="190"/>
      <c r="BY53" s="190"/>
      <c r="BZ53" s="189">
        <f>WAM!U86</f>
        <v>-5.0782234595142244</v>
      </c>
      <c r="CI53" s="98"/>
      <c r="EQ53" s="131"/>
      <c r="ER53" s="131"/>
      <c r="ES53" s="131"/>
      <c r="ET53" s="131"/>
      <c r="EU53" s="131"/>
      <c r="EV53" s="2"/>
      <c r="EX53" s="3"/>
    </row>
    <row r="54" spans="1:154" x14ac:dyDescent="0.35">
      <c r="A54">
        <f t="shared" si="133"/>
        <v>2057</v>
      </c>
      <c r="B54" s="162">
        <f t="shared" si="134"/>
        <v>11.88664332288633</v>
      </c>
      <c r="C54" s="79">
        <f t="shared" si="135"/>
        <v>14.46137860704547</v>
      </c>
      <c r="D54" s="173">
        <f t="shared" si="136"/>
        <v>11.60837771378827</v>
      </c>
      <c r="E54" s="179">
        <f t="shared" si="137"/>
        <v>12.795301671456599</v>
      </c>
      <c r="F54" s="184">
        <f t="shared" si="138"/>
        <v>14.06700591181551</v>
      </c>
      <c r="G54" s="2">
        <f t="shared" si="139"/>
        <v>12.963741445398435</v>
      </c>
      <c r="I54" s="158">
        <f>'Scenario 57-40%'!B87</f>
        <v>2057</v>
      </c>
      <c r="J54" s="79">
        <f>'Scenario 57-40%'!C87</f>
        <v>0</v>
      </c>
      <c r="K54" s="79">
        <f>'Scenario 57-40%'!D87</f>
        <v>0.37219477700428399</v>
      </c>
      <c r="L54" s="79">
        <f>'Scenario 57-40%'!E87</f>
        <v>1.5244999437454785E-2</v>
      </c>
      <c r="M54" s="79">
        <f>'Scenario 57-40%'!F87</f>
        <v>10.421453756119952</v>
      </c>
      <c r="N54" s="79">
        <f>'Scenario 57-40%'!G87</f>
        <v>4.0399248509255177</v>
      </c>
      <c r="O54" s="79">
        <f>'Scenario 57-40%'!H87</f>
        <v>14.46137860704547</v>
      </c>
      <c r="P54" s="79"/>
      <c r="Q54" s="79"/>
      <c r="R54" s="79">
        <f>'Scenario 57-40%'!U87</f>
        <v>-4.0399248509255168</v>
      </c>
      <c r="S54" s="157">
        <f t="shared" si="140"/>
        <v>2057</v>
      </c>
      <c r="T54" s="162">
        <f>'Scenario 51-51%'!C87</f>
        <v>0</v>
      </c>
      <c r="U54" s="162">
        <f>'Scenario 51-51%'!D87</f>
        <v>0.30558169774738841</v>
      </c>
      <c r="V54" s="162">
        <f>'Scenario 51-51%'!E87</f>
        <v>1.2567380324375299E-2</v>
      </c>
      <c r="W54" s="162">
        <f>'Scenario 51-51%'!F87</f>
        <v>8.5562875369268756</v>
      </c>
      <c r="X54" s="162">
        <f>'Scenario 51-51%'!G87</f>
        <v>3.3303557859594544</v>
      </c>
      <c r="Y54" s="162">
        <f>'Scenario 51-51%'!H87</f>
        <v>11.88664332288633</v>
      </c>
      <c r="Z54" s="162"/>
      <c r="AA54" s="162"/>
      <c r="AB54" s="157">
        <f>'Scenario 51-51%'!U87</f>
        <v>-3.3303557859594539</v>
      </c>
      <c r="AC54" s="177">
        <f t="shared" si="141"/>
        <v>2057</v>
      </c>
      <c r="AD54" s="173">
        <f>'Scenario 61-33%'!C87</f>
        <v>0</v>
      </c>
      <c r="AE54" s="173">
        <f>'Scenario 61-33%'!D87</f>
        <v>0.41458491834958111</v>
      </c>
      <c r="AF54" s="178">
        <f>'Scenario 61-33%'!E87</f>
        <v>1.6948938873050819E-2</v>
      </c>
      <c r="AG54" s="173">
        <f>'Scenario 61-33%'!F87</f>
        <v>11.608377713788272</v>
      </c>
      <c r="AH54" s="173">
        <f>'Scenario 61-33%'!G87</f>
        <v>4.4914688013584669</v>
      </c>
      <c r="AI54" s="173">
        <f>'Scenario 61-33%'!H87</f>
        <v>11.60837771378827</v>
      </c>
      <c r="AJ54" s="173"/>
      <c r="AK54" s="173"/>
      <c r="AL54" s="159">
        <f>'Scenario 61-33%'!U87</f>
        <v>-4.4914688013584669</v>
      </c>
      <c r="AM54" s="182">
        <f t="shared" si="142"/>
        <v>2057</v>
      </c>
      <c r="AN54" s="179">
        <f>'Scenario 65-25%'!C87</f>
        <v>0</v>
      </c>
      <c r="AO54" s="179">
        <f>'Scenario 65-25%'!D87</f>
        <v>0.45697505969487856</v>
      </c>
      <c r="AP54" s="179">
        <f>'Scenario 65-25%'!E87</f>
        <v>1.8652878308646856E-2</v>
      </c>
      <c r="AQ54" s="179">
        <f>'Scenario 65-25%'!F87</f>
        <v>12.795301671456599</v>
      </c>
      <c r="AR54" s="179">
        <f>'Scenario 65-25%'!G87</f>
        <v>4.9430127517914171</v>
      </c>
      <c r="AS54" s="179">
        <f>'Scenario 65-25%'!H87</f>
        <v>12.795301671456599</v>
      </c>
      <c r="AT54" s="179"/>
      <c r="AU54" s="179"/>
      <c r="AV54" s="160">
        <f>'Scenario 65-25%'!U87</f>
        <v>-4.9430127517914171</v>
      </c>
      <c r="AW54" s="187">
        <f t="shared" si="143"/>
        <v>2057</v>
      </c>
      <c r="AX54" s="184">
        <f>'Scenario 69-19%'!C87</f>
        <v>0</v>
      </c>
      <c r="AY54" s="184">
        <f>'Scenario 69-19%'!D87</f>
        <v>0.50239306827912533</v>
      </c>
      <c r="AZ54" s="184">
        <f>'Scenario 69-19%'!E87</f>
        <v>2.0478527703928308E-2</v>
      </c>
      <c r="BA54" s="184">
        <f>'Scenario 69-19%'!F87</f>
        <v>14.06700591181551</v>
      </c>
      <c r="BB54" s="184">
        <f>'Scenario 69-19%'!G87</f>
        <v>5.4268098415410018</v>
      </c>
      <c r="BC54" s="184">
        <f>'Scenario 69-19%'!H87</f>
        <v>14.06700591181551</v>
      </c>
      <c r="BD54" s="184"/>
      <c r="BE54" s="184"/>
      <c r="BF54" s="161">
        <f>'Scenario 69-19%'!U87</f>
        <v>-5.426809841541</v>
      </c>
      <c r="BG54" s="86"/>
      <c r="BH54" s="2"/>
      <c r="BI54" s="2"/>
      <c r="BJ54" s="2"/>
      <c r="BK54" s="2"/>
      <c r="BL54" s="2"/>
      <c r="BM54" s="2"/>
      <c r="BN54" s="2"/>
      <c r="BO54" s="2"/>
      <c r="BQ54" s="192">
        <f t="shared" si="145"/>
        <v>2057</v>
      </c>
      <c r="BR54" s="190">
        <f>WAM!C87</f>
        <v>0</v>
      </c>
      <c r="BS54" s="190">
        <f>WAM!D87</f>
        <v>0.5195613861832552</v>
      </c>
      <c r="BT54" s="190">
        <f>WAM!E87</f>
        <v>1.9163107394393294E-2</v>
      </c>
      <c r="BU54" s="190">
        <f>WAM!F87</f>
        <v>14.547718813131146</v>
      </c>
      <c r="BV54" s="190">
        <f>WAM!G87</f>
        <v>5.0782234595142226</v>
      </c>
      <c r="BW54" s="190">
        <f>WAM!H87</f>
        <v>19.625942272645368</v>
      </c>
      <c r="BX54" s="190"/>
      <c r="BY54" s="190"/>
      <c r="BZ54" s="189">
        <f>WAM!U87</f>
        <v>-5.0782234595142244</v>
      </c>
      <c r="CI54" s="98"/>
      <c r="EQ54" s="131"/>
      <c r="ER54" s="131"/>
      <c r="ES54" s="131"/>
      <c r="ET54" s="131"/>
      <c r="EU54" s="131"/>
      <c r="EV54" s="2"/>
      <c r="EX54" s="3"/>
    </row>
    <row r="55" spans="1:154" x14ac:dyDescent="0.35">
      <c r="A55">
        <f t="shared" si="133"/>
        <v>2058</v>
      </c>
      <c r="B55" s="162">
        <f t="shared" si="134"/>
        <v>11.88664332288633</v>
      </c>
      <c r="C55" s="79">
        <f t="shared" si="135"/>
        <v>14.46137860704547</v>
      </c>
      <c r="D55" s="173">
        <f t="shared" si="136"/>
        <v>11.60837771378827</v>
      </c>
      <c r="E55" s="179">
        <f t="shared" si="137"/>
        <v>12.795301671456599</v>
      </c>
      <c r="F55" s="184">
        <f t="shared" si="138"/>
        <v>14.06700591181551</v>
      </c>
      <c r="G55" s="2">
        <f t="shared" si="139"/>
        <v>12.963741445398435</v>
      </c>
      <c r="I55" s="158">
        <f>'Scenario 57-40%'!B88</f>
        <v>2058</v>
      </c>
      <c r="J55" s="79">
        <f>'Scenario 57-40%'!C88</f>
        <v>0</v>
      </c>
      <c r="K55" s="79">
        <f>'Scenario 57-40%'!D88</f>
        <v>0.37219477700428399</v>
      </c>
      <c r="L55" s="79">
        <f>'Scenario 57-40%'!E88</f>
        <v>1.5244999437454785E-2</v>
      </c>
      <c r="M55" s="79">
        <f>'Scenario 57-40%'!F88</f>
        <v>10.421453756119952</v>
      </c>
      <c r="N55" s="79">
        <f>'Scenario 57-40%'!G88</f>
        <v>4.0399248509255177</v>
      </c>
      <c r="O55" s="79">
        <f>'Scenario 57-40%'!H88</f>
        <v>14.46137860704547</v>
      </c>
      <c r="P55" s="79"/>
      <c r="Q55" s="79"/>
      <c r="R55" s="79">
        <f>'Scenario 57-40%'!U88</f>
        <v>-4.0399248509255168</v>
      </c>
      <c r="S55" s="157">
        <f t="shared" si="140"/>
        <v>2058</v>
      </c>
      <c r="T55" s="162">
        <f>'Scenario 51-51%'!C88</f>
        <v>0</v>
      </c>
      <c r="U55" s="162">
        <f>'Scenario 51-51%'!D88</f>
        <v>0.30558169774738841</v>
      </c>
      <c r="V55" s="162">
        <f>'Scenario 51-51%'!E88</f>
        <v>1.2567380324375299E-2</v>
      </c>
      <c r="W55" s="162">
        <f>'Scenario 51-51%'!F88</f>
        <v>8.5562875369268756</v>
      </c>
      <c r="X55" s="162">
        <f>'Scenario 51-51%'!G88</f>
        <v>3.3303557859594544</v>
      </c>
      <c r="Y55" s="162">
        <f>'Scenario 51-51%'!H88</f>
        <v>11.88664332288633</v>
      </c>
      <c r="Z55" s="162"/>
      <c r="AA55" s="162"/>
      <c r="AB55" s="157">
        <f>'Scenario 51-51%'!U88</f>
        <v>-3.3303557859594539</v>
      </c>
      <c r="AC55" s="177">
        <f t="shared" si="141"/>
        <v>2058</v>
      </c>
      <c r="AD55" s="173">
        <f>'Scenario 61-33%'!C88</f>
        <v>0</v>
      </c>
      <c r="AE55" s="173">
        <f>'Scenario 61-33%'!D88</f>
        <v>0.41458491834958111</v>
      </c>
      <c r="AF55" s="178">
        <f>'Scenario 61-33%'!E88</f>
        <v>1.6948938873050819E-2</v>
      </c>
      <c r="AG55" s="173">
        <f>'Scenario 61-33%'!F88</f>
        <v>11.608377713788272</v>
      </c>
      <c r="AH55" s="173">
        <f>'Scenario 61-33%'!G88</f>
        <v>4.4914688013584669</v>
      </c>
      <c r="AI55" s="173">
        <f>'Scenario 61-33%'!H88</f>
        <v>11.60837771378827</v>
      </c>
      <c r="AJ55" s="173"/>
      <c r="AK55" s="173"/>
      <c r="AL55" s="159">
        <f>'Scenario 61-33%'!U88</f>
        <v>-4.4914688013584669</v>
      </c>
      <c r="AM55" s="182">
        <f t="shared" si="142"/>
        <v>2058</v>
      </c>
      <c r="AN55" s="179">
        <f>'Scenario 65-25%'!C88</f>
        <v>0</v>
      </c>
      <c r="AO55" s="179">
        <f>'Scenario 65-25%'!D88</f>
        <v>0.45697505969487856</v>
      </c>
      <c r="AP55" s="179">
        <f>'Scenario 65-25%'!E88</f>
        <v>1.8652878308646856E-2</v>
      </c>
      <c r="AQ55" s="179">
        <f>'Scenario 65-25%'!F88</f>
        <v>12.795301671456599</v>
      </c>
      <c r="AR55" s="179">
        <f>'Scenario 65-25%'!G88</f>
        <v>4.9430127517914171</v>
      </c>
      <c r="AS55" s="179">
        <f>'Scenario 65-25%'!H88</f>
        <v>12.795301671456599</v>
      </c>
      <c r="AT55" s="179"/>
      <c r="AU55" s="179"/>
      <c r="AV55" s="160">
        <f>'Scenario 65-25%'!U88</f>
        <v>-4.9430127517914171</v>
      </c>
      <c r="AW55" s="187">
        <f t="shared" si="143"/>
        <v>2058</v>
      </c>
      <c r="AX55" s="184">
        <f>'Scenario 69-19%'!C88</f>
        <v>0</v>
      </c>
      <c r="AY55" s="184">
        <f>'Scenario 69-19%'!D88</f>
        <v>0.50239306827912533</v>
      </c>
      <c r="AZ55" s="184">
        <f>'Scenario 69-19%'!E88</f>
        <v>2.0478527703928308E-2</v>
      </c>
      <c r="BA55" s="184">
        <f>'Scenario 69-19%'!F88</f>
        <v>14.06700591181551</v>
      </c>
      <c r="BB55" s="184">
        <f>'Scenario 69-19%'!G88</f>
        <v>5.4268098415410018</v>
      </c>
      <c r="BC55" s="184">
        <f>'Scenario 69-19%'!H88</f>
        <v>14.06700591181551</v>
      </c>
      <c r="BD55" s="184"/>
      <c r="BE55" s="184"/>
      <c r="BF55" s="161">
        <f>'Scenario 69-19%'!U88</f>
        <v>-5.426809841541</v>
      </c>
      <c r="BG55" s="86"/>
      <c r="BH55" s="2"/>
      <c r="BI55" s="2"/>
      <c r="BJ55" s="2"/>
      <c r="BK55" s="2"/>
      <c r="BL55" s="2"/>
      <c r="BM55" s="2"/>
      <c r="BN55" s="2"/>
      <c r="BO55" s="2"/>
      <c r="BQ55" s="192">
        <f t="shared" si="145"/>
        <v>2058</v>
      </c>
      <c r="BR55" s="190">
        <f>WAM!C88</f>
        <v>0</v>
      </c>
      <c r="BS55" s="190">
        <f>WAM!D88</f>
        <v>0.5195613861832552</v>
      </c>
      <c r="BT55" s="190">
        <f>WAM!E88</f>
        <v>1.9163107394393294E-2</v>
      </c>
      <c r="BU55" s="190">
        <f>WAM!F88</f>
        <v>14.547718813131146</v>
      </c>
      <c r="BV55" s="190">
        <f>WAM!G88</f>
        <v>5.0782234595142226</v>
      </c>
      <c r="BW55" s="190">
        <f>WAM!H88</f>
        <v>19.625942272645368</v>
      </c>
      <c r="BX55" s="190"/>
      <c r="BY55" s="190"/>
      <c r="BZ55" s="189">
        <f>WAM!U88</f>
        <v>-5.0782234595142244</v>
      </c>
      <c r="CI55" s="98"/>
      <c r="EQ55" s="131"/>
      <c r="ER55" s="131"/>
      <c r="ES55" s="131"/>
      <c r="ET55" s="131"/>
      <c r="EU55" s="131"/>
      <c r="EV55" s="2"/>
      <c r="EX55" s="3"/>
    </row>
    <row r="56" spans="1:154" x14ac:dyDescent="0.35">
      <c r="A56">
        <f t="shared" si="133"/>
        <v>2059</v>
      </c>
      <c r="B56" s="162">
        <f t="shared" si="134"/>
        <v>11.88664332288633</v>
      </c>
      <c r="C56" s="79">
        <f t="shared" si="135"/>
        <v>14.46137860704547</v>
      </c>
      <c r="D56" s="173">
        <f t="shared" si="136"/>
        <v>11.60837771378827</v>
      </c>
      <c r="E56" s="179">
        <f t="shared" si="137"/>
        <v>12.795301671456599</v>
      </c>
      <c r="F56" s="184">
        <f t="shared" si="138"/>
        <v>14.06700591181551</v>
      </c>
      <c r="G56" s="2">
        <f t="shared" si="139"/>
        <v>12.963741445398435</v>
      </c>
      <c r="I56" s="158">
        <f>'Scenario 57-40%'!B89</f>
        <v>2059</v>
      </c>
      <c r="J56" s="79">
        <f>'Scenario 57-40%'!C89</f>
        <v>0</v>
      </c>
      <c r="K56" s="79">
        <f>'Scenario 57-40%'!D89</f>
        <v>0.37219477700428399</v>
      </c>
      <c r="L56" s="79">
        <f>'Scenario 57-40%'!E89</f>
        <v>1.5244999437454785E-2</v>
      </c>
      <c r="M56" s="79">
        <f>'Scenario 57-40%'!F89</f>
        <v>10.421453756119952</v>
      </c>
      <c r="N56" s="79">
        <f>'Scenario 57-40%'!G89</f>
        <v>4.0399248509255177</v>
      </c>
      <c r="O56" s="79">
        <f>'Scenario 57-40%'!H89</f>
        <v>14.46137860704547</v>
      </c>
      <c r="P56" s="79"/>
      <c r="Q56" s="79"/>
      <c r="R56" s="79">
        <f>'Scenario 57-40%'!U89</f>
        <v>-4.0399248509255168</v>
      </c>
      <c r="S56" s="157">
        <f t="shared" si="140"/>
        <v>2059</v>
      </c>
      <c r="T56" s="162">
        <f>'Scenario 51-51%'!C89</f>
        <v>0</v>
      </c>
      <c r="U56" s="162">
        <f>'Scenario 51-51%'!D89</f>
        <v>0.30558169774738841</v>
      </c>
      <c r="V56" s="162">
        <f>'Scenario 51-51%'!E89</f>
        <v>1.2567380324375299E-2</v>
      </c>
      <c r="W56" s="162">
        <f>'Scenario 51-51%'!F89</f>
        <v>8.5562875369268756</v>
      </c>
      <c r="X56" s="162">
        <f>'Scenario 51-51%'!G89</f>
        <v>3.3303557859594544</v>
      </c>
      <c r="Y56" s="162">
        <f>'Scenario 51-51%'!H89</f>
        <v>11.88664332288633</v>
      </c>
      <c r="Z56" s="162"/>
      <c r="AA56" s="162"/>
      <c r="AB56" s="157">
        <f>'Scenario 51-51%'!U89</f>
        <v>-3.3303557859594539</v>
      </c>
      <c r="AC56" s="177">
        <f t="shared" si="141"/>
        <v>2059</v>
      </c>
      <c r="AD56" s="173">
        <f>'Scenario 61-33%'!C89</f>
        <v>0</v>
      </c>
      <c r="AE56" s="173">
        <f>'Scenario 61-33%'!D89</f>
        <v>0.41458491834958111</v>
      </c>
      <c r="AF56" s="178">
        <f>'Scenario 61-33%'!E89</f>
        <v>1.6948938873050819E-2</v>
      </c>
      <c r="AG56" s="173">
        <f>'Scenario 61-33%'!F89</f>
        <v>11.608377713788272</v>
      </c>
      <c r="AH56" s="173">
        <f>'Scenario 61-33%'!G89</f>
        <v>4.4914688013584669</v>
      </c>
      <c r="AI56" s="173">
        <f>'Scenario 61-33%'!H89</f>
        <v>11.60837771378827</v>
      </c>
      <c r="AJ56" s="173"/>
      <c r="AK56" s="173"/>
      <c r="AL56" s="159">
        <f>'Scenario 61-33%'!U89</f>
        <v>-4.4914688013584669</v>
      </c>
      <c r="AM56" s="182">
        <f t="shared" si="142"/>
        <v>2059</v>
      </c>
      <c r="AN56" s="179">
        <f>'Scenario 65-25%'!C89</f>
        <v>0</v>
      </c>
      <c r="AO56" s="179">
        <f>'Scenario 65-25%'!D89</f>
        <v>0.45697505969487856</v>
      </c>
      <c r="AP56" s="179">
        <f>'Scenario 65-25%'!E89</f>
        <v>1.8652878308646856E-2</v>
      </c>
      <c r="AQ56" s="179">
        <f>'Scenario 65-25%'!F89</f>
        <v>12.795301671456599</v>
      </c>
      <c r="AR56" s="179">
        <f>'Scenario 65-25%'!G89</f>
        <v>4.9430127517914171</v>
      </c>
      <c r="AS56" s="179">
        <f>'Scenario 65-25%'!H89</f>
        <v>12.795301671456599</v>
      </c>
      <c r="AT56" s="179"/>
      <c r="AU56" s="179"/>
      <c r="AV56" s="160">
        <f>'Scenario 65-25%'!U89</f>
        <v>-4.9430127517914171</v>
      </c>
      <c r="AW56" s="187">
        <f t="shared" si="143"/>
        <v>2059</v>
      </c>
      <c r="AX56" s="184">
        <f>'Scenario 69-19%'!C89</f>
        <v>0</v>
      </c>
      <c r="AY56" s="184">
        <f>'Scenario 69-19%'!D89</f>
        <v>0.50239306827912533</v>
      </c>
      <c r="AZ56" s="184">
        <f>'Scenario 69-19%'!E89</f>
        <v>2.0478527703928308E-2</v>
      </c>
      <c r="BA56" s="184">
        <f>'Scenario 69-19%'!F89</f>
        <v>14.06700591181551</v>
      </c>
      <c r="BB56" s="184">
        <f>'Scenario 69-19%'!G89</f>
        <v>5.4268098415410018</v>
      </c>
      <c r="BC56" s="184">
        <f>'Scenario 69-19%'!H89</f>
        <v>14.06700591181551</v>
      </c>
      <c r="BD56" s="184"/>
      <c r="BE56" s="184"/>
      <c r="BF56" s="161">
        <f>'Scenario 69-19%'!U89</f>
        <v>-5.426809841541</v>
      </c>
      <c r="BG56" s="86"/>
      <c r="BH56" s="2"/>
      <c r="BI56" s="2"/>
      <c r="BJ56" s="2"/>
      <c r="BK56" s="2"/>
      <c r="BL56" s="2"/>
      <c r="BM56" s="2"/>
      <c r="BN56" s="2"/>
      <c r="BO56" s="2"/>
      <c r="BQ56" s="192">
        <f t="shared" si="145"/>
        <v>2059</v>
      </c>
      <c r="BR56" s="190">
        <f>WAM!C89</f>
        <v>0</v>
      </c>
      <c r="BS56" s="190">
        <f>WAM!D89</f>
        <v>0.5195613861832552</v>
      </c>
      <c r="BT56" s="190">
        <f>WAM!E89</f>
        <v>1.9163107394393294E-2</v>
      </c>
      <c r="BU56" s="190">
        <f>WAM!F89</f>
        <v>14.547718813131146</v>
      </c>
      <c r="BV56" s="190">
        <f>WAM!G89</f>
        <v>5.0782234595142226</v>
      </c>
      <c r="BW56" s="190">
        <f>WAM!H89</f>
        <v>19.625942272645368</v>
      </c>
      <c r="BX56" s="190"/>
      <c r="BY56" s="190"/>
      <c r="BZ56" s="189">
        <f>WAM!U89</f>
        <v>-5.0782234595142244</v>
      </c>
      <c r="CI56" s="98"/>
      <c r="DP56">
        <v>0.45</v>
      </c>
      <c r="EQ56" s="131"/>
      <c r="ER56" s="131"/>
      <c r="ES56" s="131"/>
      <c r="ET56" s="131"/>
      <c r="EU56" s="131"/>
      <c r="EV56" s="2"/>
      <c r="EX56" s="3"/>
    </row>
    <row r="57" spans="1:154" x14ac:dyDescent="0.35">
      <c r="A57">
        <f t="shared" si="133"/>
        <v>2060</v>
      </c>
      <c r="B57" s="162">
        <f t="shared" si="134"/>
        <v>11.88664332288633</v>
      </c>
      <c r="C57" s="79">
        <f t="shared" si="135"/>
        <v>14.46137860704547</v>
      </c>
      <c r="D57" s="173">
        <f t="shared" si="136"/>
        <v>11.60837771378827</v>
      </c>
      <c r="E57" s="179">
        <f t="shared" si="137"/>
        <v>12.795301671456599</v>
      </c>
      <c r="F57" s="184">
        <f t="shared" si="138"/>
        <v>14.06700591181551</v>
      </c>
      <c r="G57" s="2">
        <f t="shared" si="139"/>
        <v>12.963741445398435</v>
      </c>
      <c r="I57" s="158">
        <f>'Scenario 57-40%'!B90</f>
        <v>2060</v>
      </c>
      <c r="J57" s="79">
        <f>'Scenario 57-40%'!C90</f>
        <v>0</v>
      </c>
      <c r="K57" s="79">
        <f>'Scenario 57-40%'!D90</f>
        <v>0.37219477700428399</v>
      </c>
      <c r="L57" s="79">
        <f>'Scenario 57-40%'!E90</f>
        <v>1.5244999437454785E-2</v>
      </c>
      <c r="M57" s="79">
        <f>'Scenario 57-40%'!F90</f>
        <v>10.421453756119952</v>
      </c>
      <c r="N57" s="79">
        <f>'Scenario 57-40%'!G90</f>
        <v>4.0399248509255177</v>
      </c>
      <c r="O57" s="79">
        <f>'Scenario 57-40%'!H90</f>
        <v>14.46137860704547</v>
      </c>
      <c r="P57" s="79"/>
      <c r="Q57" s="79"/>
      <c r="R57" s="79">
        <f>'Scenario 57-40%'!U90</f>
        <v>-4.0399248509255168</v>
      </c>
      <c r="S57" s="157">
        <f t="shared" si="140"/>
        <v>2060</v>
      </c>
      <c r="T57" s="162">
        <f>'Scenario 51-51%'!C90</f>
        <v>0</v>
      </c>
      <c r="U57" s="162">
        <f>'Scenario 51-51%'!D90</f>
        <v>0.30558169774738841</v>
      </c>
      <c r="V57" s="162">
        <f>'Scenario 51-51%'!E90</f>
        <v>1.2567380324375299E-2</v>
      </c>
      <c r="W57" s="162">
        <f>'Scenario 51-51%'!F90</f>
        <v>8.5562875369268756</v>
      </c>
      <c r="X57" s="162">
        <f>'Scenario 51-51%'!G90</f>
        <v>3.3303557859594544</v>
      </c>
      <c r="Y57" s="162">
        <f>'Scenario 51-51%'!H90</f>
        <v>11.88664332288633</v>
      </c>
      <c r="Z57" s="162"/>
      <c r="AA57" s="162"/>
      <c r="AB57" s="157">
        <f>'Scenario 51-51%'!U90</f>
        <v>-3.3303557859594539</v>
      </c>
      <c r="AC57" s="177">
        <f t="shared" si="141"/>
        <v>2060</v>
      </c>
      <c r="AD57" s="173">
        <f>'Scenario 61-33%'!C90</f>
        <v>0</v>
      </c>
      <c r="AE57" s="173">
        <f>'Scenario 61-33%'!D90</f>
        <v>0.41458491834958111</v>
      </c>
      <c r="AF57" s="178">
        <f>'Scenario 61-33%'!E90</f>
        <v>1.6948938873050819E-2</v>
      </c>
      <c r="AG57" s="173">
        <f>'Scenario 61-33%'!F90</f>
        <v>11.608377713788272</v>
      </c>
      <c r="AH57" s="173">
        <f>'Scenario 61-33%'!G90</f>
        <v>4.4914688013584669</v>
      </c>
      <c r="AI57" s="173">
        <f>'Scenario 61-33%'!H90</f>
        <v>11.60837771378827</v>
      </c>
      <c r="AJ57" s="173"/>
      <c r="AK57" s="173"/>
      <c r="AL57" s="159">
        <f>'Scenario 61-33%'!U90</f>
        <v>-4.4914688013584669</v>
      </c>
      <c r="AM57" s="182">
        <f t="shared" si="142"/>
        <v>2060</v>
      </c>
      <c r="AN57" s="179">
        <f>'Scenario 65-25%'!C90</f>
        <v>0</v>
      </c>
      <c r="AO57" s="179">
        <f>'Scenario 65-25%'!D90</f>
        <v>0.45697505969487856</v>
      </c>
      <c r="AP57" s="179">
        <f>'Scenario 65-25%'!E90</f>
        <v>1.8652878308646856E-2</v>
      </c>
      <c r="AQ57" s="179">
        <f>'Scenario 65-25%'!F90</f>
        <v>12.795301671456599</v>
      </c>
      <c r="AR57" s="179">
        <f>'Scenario 65-25%'!G90</f>
        <v>4.9430127517914171</v>
      </c>
      <c r="AS57" s="179">
        <f>'Scenario 65-25%'!H90</f>
        <v>12.795301671456599</v>
      </c>
      <c r="AT57" s="179"/>
      <c r="AU57" s="179"/>
      <c r="AV57" s="160">
        <f>'Scenario 65-25%'!U90</f>
        <v>-4.9430127517914171</v>
      </c>
      <c r="AW57" s="187">
        <f t="shared" si="143"/>
        <v>2060</v>
      </c>
      <c r="AX57" s="184">
        <f>'Scenario 69-19%'!C90</f>
        <v>0</v>
      </c>
      <c r="AY57" s="184">
        <f>'Scenario 69-19%'!D90</f>
        <v>0.50239306827912533</v>
      </c>
      <c r="AZ57" s="184">
        <f>'Scenario 69-19%'!E90</f>
        <v>2.0478527703928308E-2</v>
      </c>
      <c r="BA57" s="184">
        <f>'Scenario 69-19%'!F90</f>
        <v>14.06700591181551</v>
      </c>
      <c r="BB57" s="184">
        <f>'Scenario 69-19%'!G90</f>
        <v>5.4268098415410018</v>
      </c>
      <c r="BC57" s="184">
        <f>'Scenario 69-19%'!H90</f>
        <v>14.06700591181551</v>
      </c>
      <c r="BD57" s="184"/>
      <c r="BE57" s="184"/>
      <c r="BF57" s="161">
        <f>'Scenario 69-19%'!U90</f>
        <v>-5.426809841541</v>
      </c>
      <c r="BG57" s="86"/>
      <c r="BH57" s="2"/>
      <c r="BI57" s="2"/>
      <c r="BJ57" s="2"/>
      <c r="BK57" s="2"/>
      <c r="BL57" s="2"/>
      <c r="BM57" s="2"/>
      <c r="BN57" s="2"/>
      <c r="BO57" s="2"/>
      <c r="BQ57" s="192">
        <f t="shared" si="145"/>
        <v>2060</v>
      </c>
      <c r="BR57" s="190">
        <f>WAM!C90</f>
        <v>0</v>
      </c>
      <c r="BS57" s="190">
        <f>WAM!D90</f>
        <v>0.5195613861832552</v>
      </c>
      <c r="BT57" s="190">
        <f>WAM!E90</f>
        <v>1.9163107394393294E-2</v>
      </c>
      <c r="BU57" s="190">
        <f>WAM!F90</f>
        <v>14.547718813131146</v>
      </c>
      <c r="BV57" s="190">
        <f>WAM!G90</f>
        <v>5.0782234595142226</v>
      </c>
      <c r="BW57" s="190">
        <f>WAM!H90</f>
        <v>19.625942272645368</v>
      </c>
      <c r="BX57" s="190"/>
      <c r="BY57" s="190"/>
      <c r="BZ57" s="189">
        <f>WAM!U90</f>
        <v>-5.0782234595142244</v>
      </c>
      <c r="CI57" s="98"/>
      <c r="DO57">
        <f>DP56/DP57</f>
        <v>4.4999999999999999E-4</v>
      </c>
      <c r="DP57">
        <v>1000</v>
      </c>
      <c r="EQ57" s="131"/>
      <c r="ER57" s="131"/>
      <c r="ES57" s="131"/>
      <c r="ET57" s="131"/>
      <c r="EU57" s="131"/>
      <c r="EV57" s="2"/>
      <c r="EX57" s="3"/>
    </row>
    <row r="58" spans="1:154" x14ac:dyDescent="0.35">
      <c r="J58" s="79"/>
      <c r="K58" s="79"/>
      <c r="L58" s="79"/>
      <c r="M58" s="79"/>
      <c r="N58" s="79"/>
      <c r="O58" s="79"/>
      <c r="P58" s="79"/>
      <c r="Q58" s="79"/>
      <c r="R58" s="79"/>
      <c r="T58" s="162"/>
      <c r="U58" s="162"/>
      <c r="V58" s="162"/>
      <c r="W58" s="162"/>
      <c r="X58" s="162"/>
      <c r="Y58" s="162"/>
      <c r="Z58" s="162"/>
      <c r="AA58" s="162"/>
      <c r="AC58" s="177"/>
      <c r="AD58" s="173"/>
      <c r="AE58" s="173"/>
      <c r="AF58" s="173"/>
      <c r="AG58" s="173"/>
      <c r="AH58" s="173"/>
      <c r="AI58" s="173"/>
      <c r="AJ58" s="173"/>
      <c r="AK58" s="173"/>
      <c r="AM58" s="182"/>
      <c r="AN58" s="179"/>
      <c r="AO58" s="179"/>
      <c r="AP58" s="179"/>
      <c r="AQ58" s="179"/>
      <c r="AR58" s="179"/>
      <c r="AS58" s="179"/>
      <c r="AT58" s="179"/>
      <c r="AU58" s="179"/>
      <c r="AW58" s="187"/>
      <c r="AX58" s="184"/>
      <c r="AY58" s="184"/>
      <c r="AZ58" s="184"/>
      <c r="BA58" s="184"/>
      <c r="BB58" s="184"/>
      <c r="BC58" s="184"/>
      <c r="BD58" s="184"/>
      <c r="BE58" s="184"/>
      <c r="BG58" s="86"/>
      <c r="BH58" s="2"/>
      <c r="BI58" s="2"/>
      <c r="BJ58" s="2"/>
      <c r="BK58" s="2"/>
      <c r="BL58" s="2"/>
      <c r="BM58" s="2"/>
      <c r="BN58" s="2"/>
      <c r="BO58" s="2"/>
      <c r="CI58" s="98"/>
    </row>
    <row r="59" spans="1:154" x14ac:dyDescent="0.35">
      <c r="B59" s="3">
        <f>1-B27/B15</f>
        <v>0.50980614010423331</v>
      </c>
      <c r="C59" s="3">
        <f t="shared" ref="C59:G59" si="177">1-C27/C15</f>
        <v>0.50736537288622885</v>
      </c>
      <c r="D59" s="3">
        <f t="shared" si="177"/>
        <v>0.50687085690430211</v>
      </c>
      <c r="E59" s="3">
        <f t="shared" si="177"/>
        <v>0.50639059052509239</v>
      </c>
      <c r="F59" s="3">
        <f t="shared" si="177"/>
        <v>0.5147156753923019</v>
      </c>
      <c r="G59" s="3">
        <f t="shared" si="177"/>
        <v>0.50902972716243178</v>
      </c>
      <c r="J59" s="79"/>
      <c r="K59" s="79"/>
      <c r="L59" s="79"/>
      <c r="M59" s="79"/>
      <c r="N59" s="79"/>
      <c r="O59" s="79"/>
      <c r="P59" s="79"/>
      <c r="Q59" s="79"/>
      <c r="R59" s="79"/>
      <c r="T59" s="162"/>
      <c r="U59" s="162"/>
      <c r="V59" s="162"/>
      <c r="W59" s="162"/>
      <c r="X59" s="162"/>
      <c r="Y59" s="162"/>
      <c r="Z59" s="162"/>
      <c r="AA59" s="162"/>
      <c r="AC59" s="177"/>
      <c r="AD59" s="173"/>
      <c r="AE59" s="173"/>
      <c r="AF59" s="173"/>
      <c r="AG59" s="173"/>
      <c r="AH59" s="173"/>
      <c r="AI59" s="173"/>
      <c r="AJ59" s="173"/>
      <c r="AK59" s="173"/>
      <c r="AM59" s="182"/>
      <c r="AN59" s="179"/>
      <c r="AO59" s="179"/>
      <c r="AP59" s="179"/>
      <c r="AQ59" s="179"/>
      <c r="AR59" s="179"/>
      <c r="AS59" s="179"/>
      <c r="AT59" s="179"/>
      <c r="AU59" s="179"/>
      <c r="AW59" s="187"/>
      <c r="AX59" s="184"/>
      <c r="AY59" s="184"/>
      <c r="AZ59" s="184"/>
      <c r="BA59" s="184"/>
      <c r="BB59" s="184"/>
      <c r="BC59" s="184"/>
      <c r="BD59" s="184"/>
      <c r="BE59" s="184"/>
      <c r="BG59" s="86"/>
      <c r="BH59" s="2"/>
      <c r="BI59" s="2"/>
      <c r="BJ59" s="2"/>
      <c r="BK59" s="2"/>
      <c r="BL59" s="2"/>
      <c r="BM59" s="2"/>
      <c r="BN59" s="2"/>
      <c r="BO59" s="2"/>
      <c r="CI59" s="98"/>
    </row>
    <row r="60" spans="1:154" x14ac:dyDescent="0.35">
      <c r="DX60">
        <f>DN60</f>
        <v>0</v>
      </c>
      <c r="DY60">
        <f t="shared" ref="DY60:ED60" si="178">DO60</f>
        <v>0</v>
      </c>
      <c r="DZ60">
        <f t="shared" si="178"/>
        <v>0</v>
      </c>
      <c r="EA60">
        <f t="shared" si="178"/>
        <v>0</v>
      </c>
      <c r="EB60">
        <f t="shared" si="178"/>
        <v>0</v>
      </c>
      <c r="EC60">
        <f t="shared" si="178"/>
        <v>0</v>
      </c>
      <c r="ED60">
        <f t="shared" si="178"/>
        <v>0</v>
      </c>
    </row>
    <row r="61" spans="1:154" x14ac:dyDescent="0.35">
      <c r="S61" s="162">
        <f>480+R95</f>
        <v>437.58078906528209</v>
      </c>
      <c r="AC61" s="173">
        <f>480+AB95</f>
        <v>445.03126424742572</v>
      </c>
      <c r="AM61" s="179">
        <f>480+AL95</f>
        <v>432.83957758573609</v>
      </c>
      <c r="AW61" s="184">
        <f>480+AV95</f>
        <v>428.09836610619016</v>
      </c>
      <c r="BG61" s="2"/>
      <c r="BQ61" s="190">
        <f>480+BP95</f>
        <v>480</v>
      </c>
      <c r="BR61" s="190"/>
      <c r="BS61" s="190"/>
      <c r="BT61" s="190"/>
      <c r="BU61" s="190"/>
      <c r="BV61" s="190"/>
      <c r="BW61" s="190"/>
      <c r="BX61" s="190"/>
      <c r="BY61" s="190"/>
      <c r="BZ61" s="190"/>
      <c r="CA61" s="2">
        <f>480+BZ95</f>
        <v>426.67865367510063</v>
      </c>
      <c r="CD61" s="2"/>
      <c r="CE61" s="2"/>
      <c r="CF61" s="2"/>
      <c r="CG61" s="2"/>
      <c r="CH61" s="2"/>
      <c r="CI61" s="2"/>
      <c r="CL61" s="2"/>
      <c r="CM61" s="2"/>
      <c r="CN61" s="2"/>
      <c r="CO61" s="2"/>
      <c r="CP61" s="2"/>
      <c r="CQ61" s="2"/>
      <c r="CS61" s="2"/>
      <c r="CT61" s="2"/>
      <c r="CU61" s="2"/>
      <c r="CV61" s="2"/>
      <c r="CW61" s="2"/>
      <c r="CX61" s="2"/>
      <c r="CZ61" s="2"/>
      <c r="DA61" s="2"/>
      <c r="DB61" s="2"/>
      <c r="DC61" s="2"/>
      <c r="DD61" s="2"/>
      <c r="DE61" s="2"/>
      <c r="DG61" s="1"/>
      <c r="DH61" s="1"/>
      <c r="DI61" s="1"/>
      <c r="DJ61" s="1"/>
      <c r="DK61" s="1"/>
      <c r="DL61" s="1"/>
      <c r="DO61" s="97"/>
      <c r="DP61" s="97"/>
      <c r="DQ61" s="97"/>
      <c r="DR61" s="97"/>
      <c r="DS61" s="97"/>
      <c r="DT61" s="97"/>
      <c r="DX61">
        <f>DN61</f>
        <v>0</v>
      </c>
      <c r="DY61" s="2">
        <f>O15</f>
        <v>68.311052432169276</v>
      </c>
    </row>
    <row r="62" spans="1:154" x14ac:dyDescent="0.35">
      <c r="I62" s="158" t="str">
        <f t="shared" ref="I62:I95" si="179">I14</f>
        <v>Year</v>
      </c>
      <c r="J62" s="158" t="str">
        <f>CONCATENATE(J14," E",TEXT(J7,"0%"),"A",TEXT(K7,"0%"))</f>
        <v>CO2 E57%A40%</v>
      </c>
      <c r="K62" s="158" t="str">
        <f>CONCATENATE(K14," E",TEXT(J7,"0%"),"A",TEXT(K7,"0%"))</f>
        <v>CH4 E57%A40%</v>
      </c>
      <c r="L62" s="158" t="str">
        <f>CONCATENATE(L14," E",TEXT(J7,"0%"),"A",TEXT(K7,"0%"))</f>
        <v>N2O E57%A40%</v>
      </c>
      <c r="M62" s="158" t="str">
        <f t="shared" ref="M62:R62" si="180">M14</f>
        <v>GWP100 CH4</v>
      </c>
      <c r="N62" s="158" t="str">
        <f>L62</f>
        <v>N2O E57%A40%</v>
      </c>
      <c r="O62" s="158" t="str">
        <f t="shared" si="180"/>
        <v>GWP100 E57%-A40%</v>
      </c>
      <c r="R62" s="158" t="str">
        <f t="shared" si="180"/>
        <v>Removals</v>
      </c>
      <c r="T62" s="157" t="str">
        <f>CONCATENATE(T14," E",TEXT(T7,"0%"),"A",TEXT(U7,"0%"))</f>
        <v>CO2 E51%A51%</v>
      </c>
      <c r="U62" s="157" t="str">
        <f>CONCATENATE(U14," E",TEXT(T7,"0%"),"A",TEXT(U7,"0%"))</f>
        <v>CH4 E51%A51%</v>
      </c>
      <c r="V62" s="157" t="str">
        <f t="shared" ref="V62" si="181">CONCATENATE(V14," E",TEXT(V7,"0%"),"A",TEXT(W7,"0%"))</f>
        <v>N2O E51%A0%</v>
      </c>
      <c r="W62" s="157" t="str">
        <f t="shared" ref="W62" si="182">W14</f>
        <v>GWP100 CH4</v>
      </c>
      <c r="X62" s="157" t="str">
        <f>V62</f>
        <v>N2O E51%A0%</v>
      </c>
      <c r="Y62" s="157" t="str">
        <f t="shared" ref="Y62:AB62" si="183">Y14</f>
        <v>GWP100 E51%-A51%</v>
      </c>
      <c r="AB62" s="157" t="str">
        <f t="shared" si="183"/>
        <v>Removals</v>
      </c>
      <c r="AC62" s="159">
        <f>S62</f>
        <v>0</v>
      </c>
      <c r="AD62" s="159" t="str">
        <f>CONCATENATE(AD14," E",TEXT(AD7,"0%"),"A",TEXT(AE7,"0%"))</f>
        <v>CO2 E61%A33%</v>
      </c>
      <c r="AE62" s="159" t="str">
        <f>CONCATENATE(AE14," E",TEXT(AD7,"0%"),"A",TEXT(AE7,"0%"))</f>
        <v>CH4 E61%A33%</v>
      </c>
      <c r="AF62" s="159" t="str">
        <f>CONCATENATE(AF14," E",TEXT(AD7,"0%"),"A",TEXT(AE7,"0%"))</f>
        <v>N2O E61%A33%</v>
      </c>
      <c r="AG62" s="159" t="str">
        <f t="shared" ref="AG62" si="184">AG14</f>
        <v>GWP100 CH4</v>
      </c>
      <c r="AH62" s="159" t="str">
        <f>AF62</f>
        <v>N2O E61%A33%</v>
      </c>
      <c r="AI62" s="159" t="str">
        <f t="shared" ref="AI62:AL62" si="185">AI14</f>
        <v>GWP100 E61%-A33%</v>
      </c>
      <c r="AL62" s="159" t="str">
        <f t="shared" si="185"/>
        <v>Removals</v>
      </c>
      <c r="AM62" s="160">
        <f>AC62</f>
        <v>0</v>
      </c>
      <c r="AN62" s="160" t="str">
        <f>CONCATENATE(AN14," E",TEXT(AN7,"0%"),"A",TEXT(AO7,"0%"))</f>
        <v>CO2 E65%A26%</v>
      </c>
      <c r="AO62" s="160" t="str">
        <f>CONCATENATE(AO14," E",TEXT(AN7,"0%"),"A",TEXT(AO7,"0%"))</f>
        <v>CH4 E65%A26%</v>
      </c>
      <c r="AP62" s="160" t="str">
        <f>CONCATENATE(AP14," E",TEXT(AN7,"0%"),"A",TEXT(AO7,"0%"))</f>
        <v>N2O E65%A26%</v>
      </c>
      <c r="AQ62" s="160" t="str">
        <f t="shared" ref="AQ62" si="186">AQ14</f>
        <v>GWP100 CH4</v>
      </c>
      <c r="AR62" s="160" t="str">
        <f>AP62</f>
        <v>N2O E65%A26%</v>
      </c>
      <c r="AS62" s="160" t="str">
        <f t="shared" ref="AS62:AV62" si="187">AS14</f>
        <v>GWP100 E65%-A26%</v>
      </c>
      <c r="AV62" s="160" t="str">
        <f t="shared" si="187"/>
        <v>Removals</v>
      </c>
      <c r="AW62" s="161">
        <f>AM62</f>
        <v>0</v>
      </c>
      <c r="AX62" s="161" t="str">
        <f>CONCATENATE(AX14," E",TEXT(AX7,"0%"),"A",TEXT(AY7,"0%"))</f>
        <v>CO2 E69%A19%</v>
      </c>
      <c r="AY62" s="161" t="str">
        <f>CONCATENATE(AY14," E",TEXT(AX7,"0%"),"A",TEXT(AY7,"0%"))</f>
        <v>CH4 E69%A19%</v>
      </c>
      <c r="AZ62" s="161" t="str">
        <f t="shared" ref="AZ62" si="188">CONCATENATE(AZ14," E",TEXT(AZ7,"0%"),"A",TEXT(BA7,"0%"))</f>
        <v>N2O E19%A0%</v>
      </c>
      <c r="BA62" s="161" t="str">
        <f t="shared" ref="BA62" si="189">BA14</f>
        <v>GWP100 CH4</v>
      </c>
      <c r="BB62" s="161" t="str">
        <f>AZ62</f>
        <v>N2O E19%A0%</v>
      </c>
      <c r="BC62" s="161" t="str">
        <f t="shared" ref="BC62:BF62" si="190">BC14</f>
        <v>GWP100 E69%-A19%</v>
      </c>
      <c r="BF62" s="161" t="str">
        <f t="shared" si="190"/>
        <v>Removals</v>
      </c>
      <c r="BQ62" s="189">
        <f>BG62</f>
        <v>0</v>
      </c>
      <c r="BR62" s="189" t="str">
        <f>CONCATENATE(BR14," E",TEXT(BR7,"0%"),"A",TEXT(BS7,"0%"))</f>
        <v>CO2 EWAMAWAM</v>
      </c>
      <c r="BS62" s="189" t="str">
        <f>CONCATENATE(BS14," E",TEXT(BR7,"0%"),"A",TEXT(BS7,"0%"))</f>
        <v>CH4 EWAMAWAM</v>
      </c>
      <c r="BT62" s="189" t="str">
        <f>CONCATENATE(BT14," E",TEXT(BR7,"0%"),"A",TEXT(BS7,"0%"))</f>
        <v>N2O EWAMAWAM</v>
      </c>
      <c r="BU62" s="189" t="str">
        <f t="shared" ref="BU62" si="191">BU14</f>
        <v>GWP100 CH4</v>
      </c>
      <c r="BV62" s="189" t="str">
        <f>BT62</f>
        <v>N2O EWAMAWAM</v>
      </c>
      <c r="BW62" s="189" t="str">
        <f t="shared" ref="BW62:BZ62" si="192">BW14</f>
        <v xml:space="preserve">GWP100 </v>
      </c>
      <c r="BZ62" s="189">
        <f t="shared" si="192"/>
        <v>0</v>
      </c>
      <c r="CA62">
        <f>BQ62</f>
        <v>0</v>
      </c>
      <c r="CD62" s="2"/>
      <c r="CE62" s="2"/>
      <c r="CF62" s="2"/>
      <c r="CG62" s="2"/>
      <c r="CH62" s="2"/>
      <c r="CI62" s="2"/>
      <c r="CL62" s="2"/>
      <c r="CM62" s="2"/>
      <c r="CN62" s="2"/>
      <c r="CO62" s="2"/>
      <c r="CP62" s="2"/>
      <c r="CQ62" s="2"/>
      <c r="CS62" s="2"/>
      <c r="CT62" s="2"/>
      <c r="CU62" s="2"/>
      <c r="CV62" s="2"/>
      <c r="CW62" s="2"/>
      <c r="CX62" s="2"/>
      <c r="CZ62" s="2"/>
      <c r="DA62" s="2"/>
      <c r="DB62" s="2"/>
      <c r="DC62" s="2"/>
      <c r="DD62" s="2"/>
      <c r="DE62" s="2"/>
      <c r="DG62" s="1"/>
      <c r="DH62" s="1"/>
      <c r="DI62" s="1"/>
      <c r="DJ62" s="1"/>
      <c r="DK62" s="1"/>
      <c r="DL62" s="1"/>
      <c r="DO62" s="97"/>
      <c r="DP62" s="97"/>
      <c r="DQ62" s="97"/>
      <c r="DR62" s="97"/>
      <c r="DS62" s="97"/>
      <c r="DT62" s="97"/>
    </row>
    <row r="63" spans="1:154" x14ac:dyDescent="0.35">
      <c r="I63" s="158">
        <f t="shared" si="179"/>
        <v>2018</v>
      </c>
      <c r="J63" s="79"/>
      <c r="K63" s="79"/>
      <c r="L63" s="79"/>
      <c r="M63" s="79"/>
      <c r="N63" s="79"/>
      <c r="O63" s="79"/>
      <c r="P63" s="79"/>
      <c r="Q63" s="79"/>
      <c r="R63" s="79"/>
      <c r="T63" s="162"/>
      <c r="U63" s="162"/>
      <c r="V63" s="162"/>
      <c r="W63" s="162"/>
      <c r="X63" s="162"/>
      <c r="Y63" s="162"/>
      <c r="Z63" s="162"/>
      <c r="AA63" s="162"/>
      <c r="AB63" s="162"/>
      <c r="AC63" s="159">
        <f>AC61</f>
        <v>445.03126424742572</v>
      </c>
      <c r="AD63" s="173"/>
      <c r="AE63" s="173"/>
      <c r="AF63" s="173"/>
      <c r="AG63" s="173"/>
      <c r="AH63" s="173"/>
      <c r="AI63" s="173"/>
      <c r="AJ63" s="173"/>
      <c r="AK63" s="173"/>
      <c r="AL63" s="173"/>
      <c r="AM63" s="160">
        <f>AM61</f>
        <v>432.83957758573609</v>
      </c>
      <c r="AN63" s="179"/>
      <c r="AO63" s="179"/>
      <c r="AP63" s="179"/>
      <c r="AQ63" s="179"/>
      <c r="AR63" s="179"/>
      <c r="AS63" s="179"/>
      <c r="AT63" s="179"/>
      <c r="AU63" s="179"/>
      <c r="AV63" s="179"/>
      <c r="AW63" s="161">
        <f>AW61</f>
        <v>428.09836610619016</v>
      </c>
      <c r="AX63" s="184"/>
      <c r="AY63" s="184"/>
      <c r="AZ63" s="184"/>
      <c r="BA63" s="184"/>
      <c r="BB63" s="184"/>
      <c r="BC63" s="184"/>
      <c r="BD63" s="184"/>
      <c r="BE63" s="184"/>
      <c r="BF63" s="184"/>
      <c r="BH63" s="2"/>
      <c r="BI63" s="2"/>
      <c r="BJ63" s="2"/>
      <c r="BK63" s="2"/>
      <c r="BL63" s="2"/>
      <c r="BM63" s="2"/>
      <c r="BN63" s="2"/>
      <c r="BO63" s="2"/>
      <c r="BP63" s="2"/>
      <c r="BQ63" s="189">
        <f>BQ61</f>
        <v>480</v>
      </c>
      <c r="BR63" s="190"/>
      <c r="BS63" s="190"/>
      <c r="BT63" s="190"/>
      <c r="BU63" s="190"/>
      <c r="BV63" s="190"/>
      <c r="BW63" s="190"/>
      <c r="BX63" s="190"/>
      <c r="BY63" s="190"/>
      <c r="BZ63" s="190"/>
      <c r="CA63">
        <f>CA61</f>
        <v>426.67865367510063</v>
      </c>
      <c r="CD63" s="2"/>
      <c r="CE63" s="2"/>
      <c r="CF63" s="2"/>
      <c r="CG63" s="2"/>
      <c r="CH63" s="2"/>
      <c r="CI63" s="2"/>
      <c r="CL63" s="2"/>
      <c r="CM63" s="2"/>
      <c r="CN63" s="2"/>
      <c r="CO63" s="2"/>
      <c r="CP63" s="2"/>
      <c r="CQ63" s="2"/>
      <c r="CS63" s="2"/>
      <c r="CT63" s="2"/>
      <c r="CU63" s="2"/>
      <c r="CV63" s="2"/>
      <c r="CW63" s="2"/>
      <c r="CX63" s="2"/>
      <c r="CZ63" s="2"/>
      <c r="DA63" s="2"/>
      <c r="DB63" s="2"/>
      <c r="DC63" s="2"/>
      <c r="DD63" s="2"/>
      <c r="DE63" s="2"/>
      <c r="DG63" s="1"/>
      <c r="DH63" s="1"/>
      <c r="DI63" s="1"/>
      <c r="DJ63" s="1"/>
      <c r="DK63" s="1"/>
      <c r="DL63" s="1"/>
      <c r="DO63" s="97"/>
      <c r="DP63" s="97"/>
      <c r="DQ63" s="97"/>
      <c r="DR63" s="97"/>
      <c r="DS63" s="97"/>
      <c r="DT63" s="97"/>
    </row>
    <row r="64" spans="1:154" x14ac:dyDescent="0.35">
      <c r="I64" s="158">
        <f t="shared" si="179"/>
        <v>2019</v>
      </c>
      <c r="J64" s="79"/>
      <c r="K64" s="79"/>
      <c r="L64" s="79"/>
      <c r="M64" s="79"/>
      <c r="N64" s="79"/>
      <c r="O64" s="79"/>
      <c r="P64" s="79"/>
      <c r="Q64" s="79"/>
      <c r="R64" s="79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73">
        <f>AC63</f>
        <v>445.03126424742572</v>
      </c>
      <c r="AD64" s="173"/>
      <c r="AE64" s="173"/>
      <c r="AF64" s="173"/>
      <c r="AG64" s="173"/>
      <c r="AH64" s="173"/>
      <c r="AI64" s="173"/>
      <c r="AJ64" s="173"/>
      <c r="AK64" s="173"/>
      <c r="AL64" s="173"/>
      <c r="AM64" s="179">
        <f>AM63</f>
        <v>432.83957758573609</v>
      </c>
      <c r="AN64" s="179"/>
      <c r="AO64" s="179"/>
      <c r="AP64" s="179"/>
      <c r="AQ64" s="179"/>
      <c r="AR64" s="179"/>
      <c r="AS64" s="179"/>
      <c r="AT64" s="179"/>
      <c r="AU64" s="179"/>
      <c r="AV64" s="179"/>
      <c r="AW64" s="184">
        <f>AW63</f>
        <v>428.09836610619016</v>
      </c>
      <c r="AX64" s="184"/>
      <c r="AY64" s="184"/>
      <c r="AZ64" s="184"/>
      <c r="BA64" s="184"/>
      <c r="BB64" s="184"/>
      <c r="BC64" s="184"/>
      <c r="BD64" s="184"/>
      <c r="BE64" s="184"/>
      <c r="BF64" s="184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190">
        <f>BQ63</f>
        <v>480</v>
      </c>
      <c r="BR64" s="190"/>
      <c r="BS64" s="190"/>
      <c r="BT64" s="190"/>
      <c r="BU64" s="190"/>
      <c r="BV64" s="190"/>
      <c r="BW64" s="190"/>
      <c r="BX64" s="190"/>
      <c r="BY64" s="190"/>
      <c r="BZ64" s="190"/>
      <c r="CA64" s="2">
        <f>CA63</f>
        <v>426.67865367510063</v>
      </c>
      <c r="CD64" s="2"/>
      <c r="CE64" s="2"/>
      <c r="CF64" s="2"/>
      <c r="CG64" s="2"/>
      <c r="CH64" s="2"/>
      <c r="CI64" s="2"/>
      <c r="CL64" s="2"/>
      <c r="CM64" s="2"/>
      <c r="CN64" s="2"/>
      <c r="CO64" s="2"/>
      <c r="CP64" s="2"/>
      <c r="CQ64" s="2"/>
      <c r="CS64" s="2"/>
      <c r="CT64" s="2"/>
      <c r="CU64" s="2"/>
      <c r="CV64" s="2"/>
      <c r="CW64" s="2"/>
      <c r="CX64" s="2"/>
      <c r="CZ64" s="2"/>
      <c r="DA64" s="2"/>
      <c r="DB64" s="2"/>
      <c r="DC64" s="2"/>
      <c r="DD64" s="2"/>
      <c r="DE64" s="2"/>
      <c r="DG64" s="1"/>
      <c r="DH64" s="1"/>
      <c r="DI64" s="1"/>
      <c r="DJ64" s="1"/>
      <c r="DK64" s="1"/>
      <c r="DL64" s="1"/>
      <c r="DO64" s="97"/>
      <c r="DP64" s="97"/>
      <c r="DQ64" s="97"/>
      <c r="DR64" s="97"/>
      <c r="DS64" s="97"/>
      <c r="DT64" s="97"/>
    </row>
    <row r="65" spans="2:124" x14ac:dyDescent="0.35">
      <c r="B65" s="2"/>
      <c r="C65" s="2"/>
      <c r="D65" s="2"/>
      <c r="E65" s="2"/>
      <c r="F65" s="2"/>
      <c r="G65" s="2"/>
      <c r="I65" s="158">
        <f t="shared" si="179"/>
        <v>2020</v>
      </c>
      <c r="J65" s="79">
        <f t="shared" ref="J65:J95" si="193">J17+J64</f>
        <v>37.397075829274357</v>
      </c>
      <c r="K65" s="79">
        <f t="shared" ref="K65:K95" si="194">K17+K64</f>
        <v>0.60563517202162709</v>
      </c>
      <c r="L65" s="79">
        <f t="shared" ref="L65:L95" si="195">L17+L64</f>
        <v>2.4191018892461238E-2</v>
      </c>
      <c r="M65" s="79">
        <f t="shared" ref="M65:M95" si="196">M17+M64</f>
        <v>16.95778481660556</v>
      </c>
      <c r="N65" s="79">
        <f t="shared" ref="N65:N95" si="197">N17+N64</f>
        <v>6.4106200065022279</v>
      </c>
      <c r="O65" s="79">
        <f t="shared" ref="O65:O94" si="198">O17+O64</f>
        <v>60.765480652382145</v>
      </c>
      <c r="P65" s="79"/>
      <c r="Q65" s="79"/>
      <c r="R65" s="79">
        <f t="shared" ref="R65:R95" si="199">R17+R64</f>
        <v>0</v>
      </c>
      <c r="S65" s="162"/>
      <c r="T65" s="162">
        <f t="shared" ref="T65:T95" si="200">T17+T64</f>
        <v>37.397075829274357</v>
      </c>
      <c r="U65" s="162">
        <f t="shared" ref="U65:U95" si="201">U17+U64</f>
        <v>0.60563517202162709</v>
      </c>
      <c r="V65" s="162">
        <f t="shared" ref="V65:V95" si="202">V17+V64</f>
        <v>2.4191018892461238E-2</v>
      </c>
      <c r="W65" s="162">
        <f t="shared" ref="W65:W95" si="203">W17+W64</f>
        <v>16.95778481660556</v>
      </c>
      <c r="X65" s="162">
        <f t="shared" ref="X65:X95" si="204">X17+X64</f>
        <v>6.4106200065022279</v>
      </c>
      <c r="Y65" s="162">
        <f t="shared" ref="Y65:Y95" si="205">Y17+Y64</f>
        <v>60.765480652382145</v>
      </c>
      <c r="Z65" s="162"/>
      <c r="AA65" s="162"/>
      <c r="AB65" s="162">
        <f t="shared" ref="AB65:AB95" si="206">AB17+AB64</f>
        <v>0</v>
      </c>
      <c r="AC65" s="173">
        <f t="shared" ref="AC65:AC95" si="207">AC64</f>
        <v>445.03126424742572</v>
      </c>
      <c r="AD65" s="173">
        <f t="shared" ref="AD65:AD95" si="208">AD17+AD64</f>
        <v>37.397075829274357</v>
      </c>
      <c r="AE65" s="173">
        <f t="shared" ref="AE65:AE95" si="209">AE17+AE64</f>
        <v>0.60563517202162709</v>
      </c>
      <c r="AF65" s="178">
        <f t="shared" ref="AF65:AF95" si="210">AF17+AF64</f>
        <v>2.4191018892461238E-2</v>
      </c>
      <c r="AG65" s="173">
        <f t="shared" ref="AG65:AG95" si="211">AG17+AG64</f>
        <v>16.95778481660556</v>
      </c>
      <c r="AH65" s="173">
        <f t="shared" ref="AH65:AH95" si="212">AH17+AH64</f>
        <v>6.4106200065022279</v>
      </c>
      <c r="AI65" s="173">
        <f t="shared" ref="AI65:AI95" si="213">AI17+AI64</f>
        <v>60.765480652382145</v>
      </c>
      <c r="AJ65" s="173"/>
      <c r="AK65" s="173"/>
      <c r="AL65" s="173">
        <f t="shared" ref="AL65:AL95" si="214">AL17+AL64</f>
        <v>0</v>
      </c>
      <c r="AM65" s="179">
        <f t="shared" ref="AM65:AM95" si="215">AM64</f>
        <v>432.83957758573609</v>
      </c>
      <c r="AN65" s="179">
        <f t="shared" ref="AN65:AN95" si="216">AN17+AN64</f>
        <v>37.397075829274357</v>
      </c>
      <c r="AO65" s="179">
        <f t="shared" ref="AO65:AO95" si="217">AO17+AO64</f>
        <v>0.60563517202162709</v>
      </c>
      <c r="AP65" s="179">
        <f t="shared" ref="AP65:AP95" si="218">AP17+AP64</f>
        <v>2.4191018892461238E-2</v>
      </c>
      <c r="AQ65" s="179">
        <f t="shared" ref="AQ65:AQ95" si="219">AQ17+AQ64</f>
        <v>16.95778481660556</v>
      </c>
      <c r="AR65" s="179">
        <f t="shared" ref="AR65:AR95" si="220">AR17+AR64</f>
        <v>6.4106200065022279</v>
      </c>
      <c r="AS65" s="179">
        <f t="shared" ref="AS65:AS95" si="221">AS17+AS64</f>
        <v>60.765480652382145</v>
      </c>
      <c r="AT65" s="179"/>
      <c r="AU65" s="179"/>
      <c r="AV65" s="179">
        <f t="shared" ref="AV65:AV95" si="222">AV17+AV64</f>
        <v>0</v>
      </c>
      <c r="AW65" s="184">
        <f t="shared" ref="AW65:AW95" si="223">AW64</f>
        <v>428.09836610619016</v>
      </c>
      <c r="AX65" s="184">
        <f t="shared" ref="AX65:AX95" si="224">AX17+AX64</f>
        <v>41.81151164486662</v>
      </c>
      <c r="AY65" s="184">
        <f t="shared" ref="AY65:AY95" si="225">AY17+AY64</f>
        <v>0.60563517202162709</v>
      </c>
      <c r="AZ65" s="184">
        <f t="shared" ref="AZ65:AZ95" si="226">AZ17+AZ64</f>
        <v>2.4191018892461238E-2</v>
      </c>
      <c r="BA65" s="184">
        <f t="shared" ref="BA65:BA95" si="227">BA17+BA64</f>
        <v>16.95778481660556</v>
      </c>
      <c r="BB65" s="184">
        <f t="shared" ref="BB65:BB95" si="228">BB17+BB64</f>
        <v>6.4106200065022279</v>
      </c>
      <c r="BC65" s="184">
        <f t="shared" ref="BC65:BC95" si="229">BC17+BC64</f>
        <v>60.765480652382145</v>
      </c>
      <c r="BD65" s="184"/>
      <c r="BE65" s="184"/>
      <c r="BF65" s="184">
        <f t="shared" ref="BF65:BF95" si="230">BF17+BF64</f>
        <v>0</v>
      </c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190">
        <f t="shared" ref="BQ65:BQ95" si="231">BQ64</f>
        <v>480</v>
      </c>
      <c r="BR65" s="190">
        <f t="shared" ref="BR65:BR95" si="232">BR17+BR64</f>
        <v>39.6997120657254</v>
      </c>
      <c r="BS65" s="190">
        <f t="shared" ref="BS65:BS95" si="233">BS17+BS64</f>
        <v>0.59473031271743648</v>
      </c>
      <c r="BT65" s="190">
        <f t="shared" ref="BT65:BT95" si="234">BT17+BT64</f>
        <v>2.2983973024124787E-2</v>
      </c>
      <c r="BU65" s="190">
        <f t="shared" ref="BU65:BU95" si="235">BU17+BU64</f>
        <v>16.652448756088223</v>
      </c>
      <c r="BV65" s="190">
        <f t="shared" ref="BV65:BV95" si="236">BV17+BV64</f>
        <v>6.0907528513930682</v>
      </c>
      <c r="BW65" s="190">
        <f t="shared" ref="BW65:BW95" si="237">BW17+BW64</f>
        <v>62.442913673206689</v>
      </c>
      <c r="BX65" s="190"/>
      <c r="BY65" s="190"/>
      <c r="BZ65" s="190">
        <f t="shared" ref="BZ65:BZ95" si="238">BZ17+BZ64</f>
        <v>0</v>
      </c>
      <c r="CA65" s="2">
        <f t="shared" ref="CA65:CA95" si="239">CA64</f>
        <v>426.67865367510063</v>
      </c>
      <c r="CD65" s="2"/>
      <c r="CE65" s="2"/>
      <c r="CF65" s="2"/>
      <c r="CG65" s="2"/>
      <c r="CH65" s="2"/>
      <c r="CI65" s="2"/>
      <c r="CL65" s="2"/>
      <c r="CM65" s="2"/>
      <c r="CN65" s="2"/>
      <c r="CO65" s="2"/>
      <c r="CP65" s="2"/>
      <c r="CQ65" s="2"/>
      <c r="CS65" s="2"/>
      <c r="CT65" s="2"/>
      <c r="CU65" s="2"/>
      <c r="CV65" s="2"/>
      <c r="CW65" s="2"/>
      <c r="CX65" s="2"/>
      <c r="CZ65" s="2"/>
      <c r="DA65" s="2"/>
      <c r="DB65" s="2"/>
      <c r="DC65" s="2"/>
      <c r="DD65" s="2"/>
      <c r="DE65" s="2"/>
      <c r="DG65" s="1"/>
      <c r="DH65" s="1"/>
      <c r="DI65" s="1"/>
      <c r="DJ65" s="1"/>
      <c r="DK65" s="1"/>
      <c r="DL65" s="1"/>
      <c r="DO65" s="97"/>
      <c r="DP65" s="97"/>
      <c r="DQ65" s="97"/>
      <c r="DR65" s="97"/>
      <c r="DS65" s="97"/>
      <c r="DT65" s="97"/>
    </row>
    <row r="66" spans="2:124" x14ac:dyDescent="0.35">
      <c r="B66" s="2"/>
      <c r="C66" s="2"/>
      <c r="D66" s="2"/>
      <c r="E66" s="2"/>
      <c r="F66" s="2"/>
      <c r="G66" s="2"/>
      <c r="I66" s="158">
        <f t="shared" si="179"/>
        <v>2021</v>
      </c>
      <c r="J66" s="79">
        <f t="shared" si="193"/>
        <v>76.840409073445016</v>
      </c>
      <c r="K66" s="79">
        <f t="shared" si="194"/>
        <v>1.2126194360289619</v>
      </c>
      <c r="L66" s="79">
        <f t="shared" si="195"/>
        <v>4.8479561597467767E-2</v>
      </c>
      <c r="M66" s="79">
        <f t="shared" si="196"/>
        <v>33.953344208810933</v>
      </c>
      <c r="N66" s="79">
        <f t="shared" si="197"/>
        <v>12.847083823328958</v>
      </c>
      <c r="O66" s="79">
        <f t="shared" si="198"/>
        <v>123.64083710558491</v>
      </c>
      <c r="P66" s="79"/>
      <c r="Q66" s="79"/>
      <c r="R66" s="79">
        <f t="shared" si="199"/>
        <v>0</v>
      </c>
      <c r="S66" s="162"/>
      <c r="T66" s="162">
        <f t="shared" si="200"/>
        <v>76.846034729541145</v>
      </c>
      <c r="U66" s="162">
        <f t="shared" si="201"/>
        <v>1.2126194360289619</v>
      </c>
      <c r="V66" s="162">
        <f t="shared" si="202"/>
        <v>4.8479561597467767E-2</v>
      </c>
      <c r="W66" s="162">
        <f t="shared" si="203"/>
        <v>33.953344208810933</v>
      </c>
      <c r="X66" s="162">
        <f t="shared" si="204"/>
        <v>12.847083823328958</v>
      </c>
      <c r="Y66" s="162">
        <f t="shared" si="205"/>
        <v>123.64646276168102</v>
      </c>
      <c r="Z66" s="162"/>
      <c r="AA66" s="162"/>
      <c r="AB66" s="162">
        <f t="shared" si="206"/>
        <v>0</v>
      </c>
      <c r="AC66" s="173">
        <f t="shared" si="207"/>
        <v>445.03126424742572</v>
      </c>
      <c r="AD66" s="173">
        <f t="shared" si="208"/>
        <v>76.836658636047673</v>
      </c>
      <c r="AE66" s="173">
        <f t="shared" si="209"/>
        <v>1.2126194360289619</v>
      </c>
      <c r="AF66" s="178">
        <f t="shared" si="210"/>
        <v>4.8479561597467767E-2</v>
      </c>
      <c r="AG66" s="173">
        <f t="shared" si="211"/>
        <v>33.953344208810933</v>
      </c>
      <c r="AH66" s="173">
        <f t="shared" si="212"/>
        <v>12.847083823328958</v>
      </c>
      <c r="AI66" s="173">
        <f t="shared" si="213"/>
        <v>123.63708666818758</v>
      </c>
      <c r="AJ66" s="173"/>
      <c r="AK66" s="173"/>
      <c r="AL66" s="173">
        <f t="shared" si="214"/>
        <v>0</v>
      </c>
      <c r="AM66" s="179">
        <f t="shared" si="215"/>
        <v>432.83957758573609</v>
      </c>
      <c r="AN66" s="179">
        <f t="shared" si="216"/>
        <v>76.832908198650273</v>
      </c>
      <c r="AO66" s="179">
        <f t="shared" si="217"/>
        <v>1.2126194360289619</v>
      </c>
      <c r="AP66" s="179">
        <f t="shared" si="218"/>
        <v>4.8479561597467767E-2</v>
      </c>
      <c r="AQ66" s="179">
        <f t="shared" si="219"/>
        <v>33.953344208810933</v>
      </c>
      <c r="AR66" s="179">
        <f t="shared" si="220"/>
        <v>12.847083823328958</v>
      </c>
      <c r="AS66" s="179">
        <f t="shared" si="221"/>
        <v>123.63333623079016</v>
      </c>
      <c r="AT66" s="179"/>
      <c r="AU66" s="179"/>
      <c r="AV66" s="179">
        <f t="shared" si="222"/>
        <v>0</v>
      </c>
      <c r="AW66" s="184">
        <f t="shared" si="223"/>
        <v>428.09836610619016</v>
      </c>
      <c r="AX66" s="184">
        <f t="shared" si="224"/>
        <v>83.62302328973324</v>
      </c>
      <c r="AY66" s="184">
        <f t="shared" si="225"/>
        <v>1.2126194360289619</v>
      </c>
      <c r="AZ66" s="184">
        <f t="shared" si="226"/>
        <v>4.8479561597467767E-2</v>
      </c>
      <c r="BA66" s="184">
        <f t="shared" si="227"/>
        <v>33.953344208810933</v>
      </c>
      <c r="BB66" s="184">
        <f t="shared" si="228"/>
        <v>12.847083823328958</v>
      </c>
      <c r="BC66" s="184">
        <f t="shared" si="229"/>
        <v>126.00901550628086</v>
      </c>
      <c r="BD66" s="184"/>
      <c r="BE66" s="184"/>
      <c r="BF66" s="184">
        <f t="shared" si="230"/>
        <v>0</v>
      </c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190">
        <f t="shared" si="231"/>
        <v>480</v>
      </c>
      <c r="BR66" s="190">
        <f t="shared" si="232"/>
        <v>81.667046797444513</v>
      </c>
      <c r="BS66" s="190">
        <f t="shared" si="233"/>
        <v>1.178569205452987</v>
      </c>
      <c r="BT66" s="190">
        <f t="shared" si="234"/>
        <v>4.5569573512616549E-2</v>
      </c>
      <c r="BU66" s="190">
        <f t="shared" si="235"/>
        <v>32.999937752683635</v>
      </c>
      <c r="BV66" s="190">
        <f t="shared" si="236"/>
        <v>12.075936980843384</v>
      </c>
      <c r="BW66" s="190">
        <f t="shared" si="237"/>
        <v>126.74292153097153</v>
      </c>
      <c r="BX66" s="190"/>
      <c r="BY66" s="190"/>
      <c r="BZ66" s="190">
        <f t="shared" si="238"/>
        <v>0</v>
      </c>
      <c r="CA66" s="2">
        <f t="shared" si="239"/>
        <v>426.67865367510063</v>
      </c>
      <c r="CD66" s="2"/>
      <c r="CE66" s="2"/>
      <c r="CF66" s="2"/>
      <c r="CG66" s="2"/>
      <c r="CH66" s="2"/>
      <c r="CI66" s="2"/>
      <c r="CL66" s="2"/>
      <c r="CM66" s="2"/>
      <c r="CN66" s="2"/>
      <c r="CO66" s="2"/>
      <c r="CP66" s="2"/>
      <c r="CQ66" s="2"/>
      <c r="CS66" s="2"/>
      <c r="CT66" s="2"/>
      <c r="CU66" s="2"/>
      <c r="CV66" s="2"/>
      <c r="CW66" s="2"/>
      <c r="CX66" s="2"/>
      <c r="CZ66" s="2"/>
      <c r="DA66" s="2"/>
      <c r="DB66" s="2"/>
      <c r="DC66" s="2"/>
      <c r="DD66" s="2"/>
      <c r="DE66" s="2"/>
      <c r="DG66" s="1"/>
      <c r="DH66" s="1"/>
      <c r="DI66" s="1"/>
      <c r="DJ66" s="1"/>
      <c r="DK66" s="1"/>
      <c r="DL66" s="1"/>
      <c r="DO66" s="97"/>
      <c r="DP66" s="97"/>
      <c r="DQ66" s="97"/>
      <c r="DR66" s="97"/>
      <c r="DS66" s="97"/>
      <c r="DT66" s="97"/>
    </row>
    <row r="67" spans="2:124" x14ac:dyDescent="0.35">
      <c r="B67" s="2"/>
      <c r="C67" s="2"/>
      <c r="D67" s="2"/>
      <c r="E67" s="2"/>
      <c r="F67" s="2"/>
      <c r="G67" s="2"/>
      <c r="I67" s="158">
        <f t="shared" si="179"/>
        <v>2022</v>
      </c>
      <c r="J67" s="79">
        <f t="shared" si="193"/>
        <v>116.63153045787718</v>
      </c>
      <c r="K67" s="79">
        <f t="shared" si="194"/>
        <v>1.793918446691122</v>
      </c>
      <c r="L67" s="79">
        <f t="shared" si="195"/>
        <v>7.1792359921661691E-2</v>
      </c>
      <c r="M67" s="79">
        <f t="shared" si="196"/>
        <v>50.229716507351412</v>
      </c>
      <c r="N67" s="79">
        <f t="shared" si="197"/>
        <v>19.024975379240345</v>
      </c>
      <c r="O67" s="79">
        <f t="shared" si="198"/>
        <v>185.88622234446893</v>
      </c>
      <c r="P67" s="79"/>
      <c r="Q67" s="79"/>
      <c r="R67" s="79">
        <f t="shared" si="199"/>
        <v>0</v>
      </c>
      <c r="S67" s="162"/>
      <c r="T67" s="162">
        <f t="shared" si="200"/>
        <v>116.64840742616545</v>
      </c>
      <c r="U67" s="162">
        <f t="shared" si="201"/>
        <v>1.7865169934403557</v>
      </c>
      <c r="V67" s="162">
        <f t="shared" si="202"/>
        <v>7.1494846686875071E-2</v>
      </c>
      <c r="W67" s="162">
        <f t="shared" si="203"/>
        <v>50.022475816329958</v>
      </c>
      <c r="X67" s="162">
        <f t="shared" si="204"/>
        <v>18.946134372021895</v>
      </c>
      <c r="Y67" s="162">
        <f t="shared" si="205"/>
        <v>185.61701761451729</v>
      </c>
      <c r="Z67" s="162"/>
      <c r="AA67" s="162"/>
      <c r="AB67" s="162">
        <f t="shared" si="206"/>
        <v>0</v>
      </c>
      <c r="AC67" s="173">
        <f t="shared" si="207"/>
        <v>445.03126424742572</v>
      </c>
      <c r="AD67" s="173">
        <f t="shared" si="208"/>
        <v>116.62027914568507</v>
      </c>
      <c r="AE67" s="173">
        <f t="shared" si="209"/>
        <v>1.798628462396155</v>
      </c>
      <c r="AF67" s="178">
        <f t="shared" si="210"/>
        <v>7.1981686525616803E-2</v>
      </c>
      <c r="AG67" s="173">
        <f t="shared" si="211"/>
        <v>50.361596947092337</v>
      </c>
      <c r="AH67" s="173">
        <f t="shared" si="212"/>
        <v>19.075146929288451</v>
      </c>
      <c r="AI67" s="173">
        <f t="shared" si="213"/>
        <v>186.05702302206589</v>
      </c>
      <c r="AJ67" s="173"/>
      <c r="AK67" s="173"/>
      <c r="AL67" s="173">
        <f t="shared" si="214"/>
        <v>0</v>
      </c>
      <c r="AM67" s="179">
        <f t="shared" si="215"/>
        <v>432.83957758573609</v>
      </c>
      <c r="AN67" s="179">
        <f t="shared" si="216"/>
        <v>116.60902783349296</v>
      </c>
      <c r="AO67" s="179">
        <f t="shared" si="217"/>
        <v>1.8033384781011881</v>
      </c>
      <c r="AP67" s="179">
        <f t="shared" si="218"/>
        <v>7.2171013129571915E-2</v>
      </c>
      <c r="AQ67" s="179">
        <f t="shared" si="219"/>
        <v>50.493477386833263</v>
      </c>
      <c r="AR67" s="179">
        <f t="shared" si="220"/>
        <v>19.125318479336556</v>
      </c>
      <c r="AS67" s="179">
        <f t="shared" si="221"/>
        <v>186.22782369966279</v>
      </c>
      <c r="AT67" s="179"/>
      <c r="AU67" s="179"/>
      <c r="AV67" s="179">
        <f t="shared" si="222"/>
        <v>0</v>
      </c>
      <c r="AW67" s="184">
        <f t="shared" si="223"/>
        <v>428.09836610619016</v>
      </c>
      <c r="AX67" s="184">
        <f t="shared" si="224"/>
        <v>122.30619666177355</v>
      </c>
      <c r="AY67" s="184">
        <f t="shared" si="225"/>
        <v>1.8083849234994376</v>
      </c>
      <c r="AZ67" s="184">
        <f t="shared" si="226"/>
        <v>7.2373863062380972E-2</v>
      </c>
      <c r="BA67" s="184">
        <f t="shared" si="227"/>
        <v>50.634777857984247</v>
      </c>
      <c r="BB67" s="184">
        <f t="shared" si="228"/>
        <v>19.179073711530954</v>
      </c>
      <c r="BC67" s="184">
        <f t="shared" si="229"/>
        <v>187.70561241569649</v>
      </c>
      <c r="BD67" s="184"/>
      <c r="BE67" s="184"/>
      <c r="BF67" s="184">
        <f t="shared" si="230"/>
        <v>0</v>
      </c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190">
        <f>BQ66</f>
        <v>480</v>
      </c>
      <c r="BR67" s="190">
        <f t="shared" si="232"/>
        <v>124.39779297660669</v>
      </c>
      <c r="BS67" s="190">
        <f t="shared" si="233"/>
        <v>1.756613591887985</v>
      </c>
      <c r="BT67" s="190">
        <f t="shared" si="234"/>
        <v>6.7832671750700249E-2</v>
      </c>
      <c r="BU67" s="190">
        <f t="shared" si="235"/>
        <v>49.185180572863572</v>
      </c>
      <c r="BV67" s="190">
        <f t="shared" si="236"/>
        <v>17.975658013935565</v>
      </c>
      <c r="BW67" s="190">
        <f t="shared" si="237"/>
        <v>191.55863156340584</v>
      </c>
      <c r="BX67" s="190"/>
      <c r="BY67" s="190"/>
      <c r="BZ67" s="190">
        <f t="shared" si="238"/>
        <v>0</v>
      </c>
      <c r="CA67" s="2">
        <f t="shared" si="239"/>
        <v>426.67865367510063</v>
      </c>
      <c r="CD67" s="2"/>
      <c r="CE67" s="2"/>
      <c r="CF67" s="2"/>
      <c r="CG67" s="2"/>
      <c r="CH67" s="2"/>
      <c r="CI67" s="2"/>
      <c r="CL67" s="2"/>
      <c r="CM67" s="2"/>
      <c r="CN67" s="2"/>
      <c r="CO67" s="2"/>
      <c r="CP67" s="2"/>
      <c r="CQ67" s="2"/>
      <c r="CS67" s="2"/>
      <c r="CT67" s="2"/>
      <c r="CU67" s="2"/>
      <c r="CV67" s="2"/>
      <c r="CW67" s="2"/>
      <c r="CX67" s="2"/>
      <c r="CZ67" s="2"/>
      <c r="DA67" s="2"/>
      <c r="DB67" s="2"/>
      <c r="DC67" s="2"/>
      <c r="DD67" s="2"/>
      <c r="DE67" s="2"/>
      <c r="DG67" s="1"/>
      <c r="DH67" s="1"/>
      <c r="DI67" s="1"/>
      <c r="DJ67" s="1"/>
      <c r="DK67" s="1"/>
      <c r="DL67" s="1"/>
      <c r="DO67" s="97"/>
      <c r="DP67" s="97"/>
      <c r="DQ67" s="97"/>
      <c r="DR67" s="97"/>
      <c r="DS67" s="97"/>
      <c r="DT67" s="97"/>
    </row>
    <row r="68" spans="2:124" x14ac:dyDescent="0.35">
      <c r="B68" s="2"/>
      <c r="C68" s="2"/>
      <c r="D68" s="2"/>
      <c r="E68" s="2"/>
      <c r="F68" s="2"/>
      <c r="G68" s="2"/>
      <c r="I68" s="158">
        <f t="shared" si="179"/>
        <v>2023</v>
      </c>
      <c r="J68" s="79">
        <f t="shared" si="193"/>
        <v>157.0998057921085</v>
      </c>
      <c r="K68" s="79">
        <f t="shared" si="194"/>
        <v>2.3554887977144854</v>
      </c>
      <c r="L68" s="79">
        <f t="shared" si="195"/>
        <v>9.4560006985588835E-2</v>
      </c>
      <c r="M68" s="79">
        <f t="shared" si="196"/>
        <v>65.953686336005589</v>
      </c>
      <c r="N68" s="79">
        <f t="shared" si="197"/>
        <v>25.058401851181038</v>
      </c>
      <c r="O68" s="79">
        <f t="shared" si="198"/>
        <v>248.11189397929513</v>
      </c>
      <c r="P68" s="79"/>
      <c r="Q68" s="79"/>
      <c r="R68" s="79">
        <f t="shared" si="199"/>
        <v>0</v>
      </c>
      <c r="S68" s="162"/>
      <c r="T68" s="162">
        <f t="shared" si="200"/>
        <v>157.13355972868493</v>
      </c>
      <c r="U68" s="162">
        <f t="shared" si="201"/>
        <v>2.3332844379621869</v>
      </c>
      <c r="V68" s="162">
        <f t="shared" si="202"/>
        <v>9.3667467281229003E-2</v>
      </c>
      <c r="W68" s="162">
        <f t="shared" si="203"/>
        <v>65.331964262941227</v>
      </c>
      <c r="X68" s="162">
        <f t="shared" si="204"/>
        <v>24.821878829525687</v>
      </c>
      <c r="Y68" s="162">
        <f t="shared" si="205"/>
        <v>247.28740282115183</v>
      </c>
      <c r="Z68" s="162"/>
      <c r="AA68" s="162"/>
      <c r="AB68" s="162">
        <f t="shared" si="206"/>
        <v>0</v>
      </c>
      <c r="AC68" s="173">
        <f t="shared" si="207"/>
        <v>445.03126424742572</v>
      </c>
      <c r="AD68" s="173">
        <f t="shared" si="208"/>
        <v>157.07730316772418</v>
      </c>
      <c r="AE68" s="173">
        <f t="shared" si="209"/>
        <v>2.3696188448295845</v>
      </c>
      <c r="AF68" s="178">
        <f t="shared" si="210"/>
        <v>9.5127986797454184E-2</v>
      </c>
      <c r="AG68" s="173">
        <f t="shared" si="211"/>
        <v>66.349327655228365</v>
      </c>
      <c r="AH68" s="173">
        <f t="shared" si="212"/>
        <v>25.208916501325355</v>
      </c>
      <c r="AI68" s="173">
        <f t="shared" si="213"/>
        <v>248.63554732427792</v>
      </c>
      <c r="AJ68" s="173"/>
      <c r="AK68" s="173"/>
      <c r="AL68" s="173">
        <f t="shared" si="214"/>
        <v>0</v>
      </c>
      <c r="AM68" s="179">
        <f t="shared" si="215"/>
        <v>432.83957758573609</v>
      </c>
      <c r="AN68" s="179">
        <f t="shared" si="216"/>
        <v>157.05480054333992</v>
      </c>
      <c r="AO68" s="179">
        <f t="shared" si="217"/>
        <v>2.3837488919446836</v>
      </c>
      <c r="AP68" s="179">
        <f t="shared" si="218"/>
        <v>9.5695966609319519E-2</v>
      </c>
      <c r="AQ68" s="179">
        <f t="shared" si="219"/>
        <v>66.74496897445114</v>
      </c>
      <c r="AR68" s="179">
        <f t="shared" si="220"/>
        <v>25.359431151469671</v>
      </c>
      <c r="AS68" s="179">
        <f t="shared" si="221"/>
        <v>249.15920066926074</v>
      </c>
      <c r="AT68" s="179"/>
      <c r="AU68" s="179"/>
      <c r="AV68" s="179">
        <f t="shared" si="222"/>
        <v>0</v>
      </c>
      <c r="AW68" s="184">
        <f t="shared" si="223"/>
        <v>428.09836610619016</v>
      </c>
      <c r="AX68" s="184">
        <f t="shared" si="224"/>
        <v>157.86103176098754</v>
      </c>
      <c r="AY68" s="184">
        <f t="shared" si="225"/>
        <v>2.3988882281394321</v>
      </c>
      <c r="AZ68" s="184">
        <f t="shared" si="226"/>
        <v>9.6304516407746676E-2</v>
      </c>
      <c r="BA68" s="184">
        <f t="shared" si="227"/>
        <v>67.168870387904093</v>
      </c>
      <c r="BB68" s="184">
        <f t="shared" si="228"/>
        <v>25.520696848052864</v>
      </c>
      <c r="BC68" s="184">
        <f t="shared" si="229"/>
        <v>246.13616318135226</v>
      </c>
      <c r="BD68" s="184"/>
      <c r="BE68" s="184"/>
      <c r="BF68" s="184">
        <f t="shared" si="230"/>
        <v>0</v>
      </c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190">
        <f t="shared" si="231"/>
        <v>480</v>
      </c>
      <c r="BR68" s="190">
        <f t="shared" si="232"/>
        <v>168.56154159380961</v>
      </c>
      <c r="BS68" s="190">
        <f t="shared" si="233"/>
        <v>2.3312164276115217</v>
      </c>
      <c r="BT68" s="190">
        <f t="shared" si="234"/>
        <v>8.9796990235045532E-2</v>
      </c>
      <c r="BU68" s="190">
        <f t="shared" si="235"/>
        <v>65.27405997312259</v>
      </c>
      <c r="BV68" s="190">
        <f t="shared" si="236"/>
        <v>23.796202412287062</v>
      </c>
      <c r="BW68" s="190">
        <f t="shared" si="237"/>
        <v>257.63180397921928</v>
      </c>
      <c r="BX68" s="190"/>
      <c r="BY68" s="190"/>
      <c r="BZ68" s="190">
        <f t="shared" si="238"/>
        <v>0</v>
      </c>
      <c r="CA68" s="2">
        <f t="shared" si="239"/>
        <v>426.67865367510063</v>
      </c>
      <c r="CD68" s="2"/>
      <c r="CE68" s="2"/>
      <c r="CF68" s="2"/>
      <c r="CG68" s="2"/>
      <c r="CH68" s="2"/>
      <c r="CI68" s="2"/>
      <c r="CL68" s="2"/>
      <c r="CM68" s="2"/>
      <c r="CN68" s="2"/>
      <c r="CO68" s="2"/>
      <c r="CP68" s="2"/>
      <c r="CQ68" s="2"/>
      <c r="CS68" s="2"/>
      <c r="CT68" s="2"/>
      <c r="CU68" s="2"/>
      <c r="CV68" s="2"/>
      <c r="CW68" s="2"/>
      <c r="CX68" s="2"/>
      <c r="CZ68" s="2"/>
      <c r="DA68" s="2"/>
      <c r="DB68" s="2"/>
      <c r="DC68" s="2"/>
      <c r="DD68" s="2"/>
      <c r="DE68" s="2"/>
      <c r="DG68" s="1"/>
      <c r="DH68" s="1"/>
      <c r="DI68" s="1"/>
      <c r="DJ68" s="1"/>
      <c r="DK68" s="1"/>
      <c r="DL68" s="1"/>
      <c r="DO68" s="97"/>
      <c r="DP68" s="97"/>
      <c r="DQ68" s="97"/>
      <c r="DR68" s="97"/>
      <c r="DS68" s="97"/>
      <c r="DT68" s="97"/>
    </row>
    <row r="69" spans="2:124" x14ac:dyDescent="0.35">
      <c r="B69" s="2"/>
      <c r="C69" s="2"/>
      <c r="D69" s="2"/>
      <c r="E69" s="2"/>
      <c r="F69" s="2"/>
      <c r="G69" s="2"/>
      <c r="I69" s="158">
        <f t="shared" si="179"/>
        <v>2024</v>
      </c>
      <c r="J69" s="79">
        <f t="shared" si="193"/>
        <v>192.9685267779912</v>
      </c>
      <c r="K69" s="79">
        <f t="shared" si="194"/>
        <v>2.8867973870714465</v>
      </c>
      <c r="L69" s="79">
        <f t="shared" si="195"/>
        <v>0.11602108082651941</v>
      </c>
      <c r="M69" s="79">
        <f t="shared" si="196"/>
        <v>80.830326838000502</v>
      </c>
      <c r="N69" s="79">
        <f t="shared" si="197"/>
        <v>30.745586419027642</v>
      </c>
      <c r="O69" s="79">
        <f t="shared" si="198"/>
        <v>304.54444003501936</v>
      </c>
      <c r="P69" s="79"/>
      <c r="Q69" s="79"/>
      <c r="R69" s="79">
        <f t="shared" si="199"/>
        <v>0</v>
      </c>
      <c r="S69" s="162"/>
      <c r="T69" s="162">
        <f t="shared" si="200"/>
        <v>193.61564039147558</v>
      </c>
      <c r="U69" s="162">
        <f t="shared" si="201"/>
        <v>2.8423886675668495</v>
      </c>
      <c r="V69" s="162">
        <f t="shared" si="202"/>
        <v>0.11423600141779974</v>
      </c>
      <c r="W69" s="162">
        <f t="shared" si="203"/>
        <v>79.586882691871779</v>
      </c>
      <c r="X69" s="162">
        <f t="shared" si="204"/>
        <v>30.272540375716936</v>
      </c>
      <c r="Y69" s="162">
        <f t="shared" si="205"/>
        <v>303.4750634590643</v>
      </c>
      <c r="Z69" s="162"/>
      <c r="AA69" s="162"/>
      <c r="AB69" s="162">
        <f t="shared" si="206"/>
        <v>0</v>
      </c>
      <c r="AC69" s="173">
        <f t="shared" si="207"/>
        <v>445.03126424742572</v>
      </c>
      <c r="AD69" s="173">
        <f t="shared" si="208"/>
        <v>192.49688361418941</v>
      </c>
      <c r="AE69" s="173">
        <f t="shared" si="209"/>
        <v>2.9150574813016448</v>
      </c>
      <c r="AF69" s="178">
        <f t="shared" si="210"/>
        <v>0.11715704045025011</v>
      </c>
      <c r="AG69" s="173">
        <f t="shared" si="211"/>
        <v>81.621609476446054</v>
      </c>
      <c r="AH69" s="173">
        <f t="shared" si="212"/>
        <v>31.046615719316275</v>
      </c>
      <c r="AI69" s="173">
        <f t="shared" si="213"/>
        <v>305.16510880995173</v>
      </c>
      <c r="AJ69" s="173"/>
      <c r="AK69" s="173"/>
      <c r="AL69" s="173">
        <f t="shared" si="214"/>
        <v>0</v>
      </c>
      <c r="AM69" s="179">
        <f t="shared" si="215"/>
        <v>432.83957758573609</v>
      </c>
      <c r="AN69" s="179">
        <f t="shared" si="216"/>
        <v>191.98435742533653</v>
      </c>
      <c r="AO69" s="179">
        <f t="shared" si="217"/>
        <v>2.943317575531843</v>
      </c>
      <c r="AP69" s="179">
        <f t="shared" si="218"/>
        <v>0.11829300007398079</v>
      </c>
      <c r="AQ69" s="179">
        <f t="shared" si="219"/>
        <v>82.412892114891605</v>
      </c>
      <c r="AR69" s="179">
        <f t="shared" si="220"/>
        <v>31.347645019604908</v>
      </c>
      <c r="AS69" s="179">
        <f t="shared" si="221"/>
        <v>305.74489455983303</v>
      </c>
      <c r="AT69" s="179"/>
      <c r="AU69" s="179"/>
      <c r="AV69" s="179">
        <f t="shared" si="222"/>
        <v>0</v>
      </c>
      <c r="AW69" s="184">
        <f t="shared" si="223"/>
        <v>428.09836610619016</v>
      </c>
      <c r="AX69" s="184">
        <f t="shared" si="224"/>
        <v>190.28752858737522</v>
      </c>
      <c r="AY69" s="184">
        <f t="shared" si="225"/>
        <v>2.9735962479213405</v>
      </c>
      <c r="AZ69" s="184">
        <f t="shared" si="226"/>
        <v>0.11951009967083509</v>
      </c>
      <c r="BA69" s="184">
        <f t="shared" si="227"/>
        <v>83.260694941797524</v>
      </c>
      <c r="BB69" s="184">
        <f t="shared" si="228"/>
        <v>31.670176412771294</v>
      </c>
      <c r="BC69" s="184">
        <f t="shared" si="229"/>
        <v>300.80396412635179</v>
      </c>
      <c r="BD69" s="184"/>
      <c r="BE69" s="184"/>
      <c r="BF69" s="184">
        <f t="shared" si="230"/>
        <v>0</v>
      </c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190">
        <f t="shared" si="231"/>
        <v>480</v>
      </c>
      <c r="BR69" s="190">
        <f t="shared" si="232"/>
        <v>210.59152122468248</v>
      </c>
      <c r="BS69" s="190">
        <f t="shared" si="233"/>
        <v>2.8997784818146561</v>
      </c>
      <c r="BT69" s="190">
        <f t="shared" si="234"/>
        <v>0.11134634438361385</v>
      </c>
      <c r="BU69" s="190">
        <f t="shared" si="235"/>
        <v>81.193797490810368</v>
      </c>
      <c r="BV69" s="190">
        <f t="shared" si="236"/>
        <v>29.506781261657668</v>
      </c>
      <c r="BW69" s="190">
        <f t="shared" si="237"/>
        <v>321.29209997715054</v>
      </c>
      <c r="BX69" s="190"/>
      <c r="BY69" s="190"/>
      <c r="BZ69" s="190">
        <f t="shared" si="238"/>
        <v>0</v>
      </c>
      <c r="CA69" s="2">
        <f t="shared" si="239"/>
        <v>426.67865367510063</v>
      </c>
      <c r="CD69" s="2"/>
      <c r="CE69" s="2"/>
      <c r="CF69" s="2"/>
      <c r="CG69" s="2"/>
      <c r="CH69" s="2"/>
      <c r="CI69" s="2"/>
      <c r="CL69" s="2"/>
      <c r="CM69" s="2"/>
      <c r="CN69" s="2"/>
      <c r="CO69" s="2"/>
      <c r="CP69" s="2"/>
      <c r="CQ69" s="2"/>
      <c r="CS69" s="2"/>
      <c r="CT69" s="2"/>
      <c r="CU69" s="2"/>
      <c r="CV69" s="2"/>
      <c r="CW69" s="2"/>
      <c r="CX69" s="2"/>
      <c r="CZ69" s="2"/>
      <c r="DA69" s="2"/>
      <c r="DB69" s="2"/>
      <c r="DC69" s="2"/>
      <c r="DD69" s="2"/>
      <c r="DE69" s="2"/>
      <c r="DG69" s="1"/>
      <c r="DH69" s="1"/>
      <c r="DI69" s="1"/>
      <c r="DJ69" s="1"/>
      <c r="DK69" s="1"/>
      <c r="DL69" s="1"/>
      <c r="DO69" s="97"/>
      <c r="DP69" s="97"/>
      <c r="DQ69" s="97"/>
      <c r="DR69" s="97"/>
      <c r="DS69" s="97"/>
      <c r="DT69" s="97"/>
    </row>
    <row r="70" spans="2:124" x14ac:dyDescent="0.35">
      <c r="B70" s="2"/>
      <c r="C70" s="2"/>
      <c r="D70" s="2"/>
      <c r="E70" s="2"/>
      <c r="F70" s="2"/>
      <c r="G70" s="2"/>
      <c r="I70" s="158">
        <f t="shared" si="179"/>
        <v>2025</v>
      </c>
      <c r="J70" s="79">
        <f t="shared" si="193"/>
        <v>225.52496018553174</v>
      </c>
      <c r="K70" s="79">
        <f t="shared" si="194"/>
        <v>3.3921932426552197</v>
      </c>
      <c r="L70" s="79">
        <f t="shared" si="195"/>
        <v>0.1364899660716733</v>
      </c>
      <c r="M70" s="79">
        <f t="shared" si="196"/>
        <v>94.981410794346147</v>
      </c>
      <c r="N70" s="79">
        <f t="shared" si="197"/>
        <v>36.16984100899343</v>
      </c>
      <c r="O70" s="79">
        <f t="shared" si="198"/>
        <v>356.67621198887133</v>
      </c>
      <c r="P70" s="79"/>
      <c r="Q70" s="79"/>
      <c r="R70" s="79">
        <f t="shared" si="199"/>
        <v>0</v>
      </c>
      <c r="S70" s="162"/>
      <c r="T70" s="162">
        <f t="shared" si="200"/>
        <v>227.27484159512449</v>
      </c>
      <c r="U70" s="162">
        <f t="shared" si="201"/>
        <v>3.3181787101475582</v>
      </c>
      <c r="V70" s="162">
        <f t="shared" si="202"/>
        <v>0.13351483372380721</v>
      </c>
      <c r="W70" s="162">
        <f t="shared" si="203"/>
        <v>92.909003884131621</v>
      </c>
      <c r="X70" s="162">
        <f t="shared" si="204"/>
        <v>35.381430936808911</v>
      </c>
      <c r="Y70" s="162">
        <f t="shared" si="205"/>
        <v>355.56527641606499</v>
      </c>
      <c r="Z70" s="162"/>
      <c r="AA70" s="162"/>
      <c r="AB70" s="162">
        <f t="shared" si="206"/>
        <v>0</v>
      </c>
      <c r="AC70" s="173">
        <f t="shared" si="207"/>
        <v>445.03126424742572</v>
      </c>
      <c r="AD70" s="173">
        <f t="shared" si="208"/>
        <v>224.25681395341451</v>
      </c>
      <c r="AE70" s="173">
        <f t="shared" si="209"/>
        <v>3.4392933997055501</v>
      </c>
      <c r="AF70" s="178">
        <f t="shared" si="210"/>
        <v>0.13838323211122447</v>
      </c>
      <c r="AG70" s="173">
        <f t="shared" si="211"/>
        <v>96.300215191755399</v>
      </c>
      <c r="AH70" s="173">
        <f t="shared" si="212"/>
        <v>36.671556509474485</v>
      </c>
      <c r="AI70" s="173">
        <f t="shared" si="213"/>
        <v>357.22858565464435</v>
      </c>
      <c r="AJ70" s="173"/>
      <c r="AK70" s="173"/>
      <c r="AL70" s="173">
        <f t="shared" si="214"/>
        <v>0</v>
      </c>
      <c r="AM70" s="179">
        <f t="shared" si="215"/>
        <v>432.83957758573609</v>
      </c>
      <c r="AN70" s="179">
        <f t="shared" si="216"/>
        <v>222.88840696938615</v>
      </c>
      <c r="AO70" s="179">
        <f t="shared" si="217"/>
        <v>3.4863935567558806</v>
      </c>
      <c r="AP70" s="179">
        <f t="shared" si="218"/>
        <v>0.14027649815077561</v>
      </c>
      <c r="AQ70" s="179">
        <f t="shared" si="219"/>
        <v>97.619019589164651</v>
      </c>
      <c r="AR70" s="179">
        <f t="shared" si="220"/>
        <v>37.173272009955539</v>
      </c>
      <c r="AS70" s="179">
        <f t="shared" si="221"/>
        <v>357.68069856850633</v>
      </c>
      <c r="AT70" s="179"/>
      <c r="AU70" s="179"/>
      <c r="AV70" s="179">
        <f t="shared" si="222"/>
        <v>0</v>
      </c>
      <c r="AW70" s="184">
        <f t="shared" si="223"/>
        <v>428.09836610619016</v>
      </c>
      <c r="AX70" s="184">
        <f t="shared" si="224"/>
        <v>219.58568714093659</v>
      </c>
      <c r="AY70" s="184">
        <f t="shared" si="225"/>
        <v>3.5368580107383765</v>
      </c>
      <c r="AZ70" s="184">
        <f t="shared" si="226"/>
        <v>0.1423049974788661</v>
      </c>
      <c r="BA70" s="184">
        <f t="shared" si="227"/>
        <v>99.032024300674536</v>
      </c>
      <c r="BB70" s="184">
        <f t="shared" si="228"/>
        <v>37.710824331899516</v>
      </c>
      <c r="BC70" s="184">
        <f t="shared" si="229"/>
        <v>351.91409995791838</v>
      </c>
      <c r="BD70" s="184"/>
      <c r="BE70" s="184"/>
      <c r="BF70" s="184">
        <f t="shared" si="230"/>
        <v>0</v>
      </c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190">
        <f t="shared" si="231"/>
        <v>480</v>
      </c>
      <c r="BR70" s="190">
        <f t="shared" si="232"/>
        <v>251.59918748525769</v>
      </c>
      <c r="BS70" s="190">
        <f t="shared" si="233"/>
        <v>3.4603057447543488</v>
      </c>
      <c r="BT70" s="190">
        <f t="shared" si="234"/>
        <v>0.13249585487980015</v>
      </c>
      <c r="BU70" s="190">
        <f t="shared" si="235"/>
        <v>96.888560853121774</v>
      </c>
      <c r="BV70" s="190">
        <f t="shared" si="236"/>
        <v>35.111401543147039</v>
      </c>
      <c r="BW70" s="190">
        <f t="shared" si="237"/>
        <v>383.5991498815265</v>
      </c>
      <c r="BX70" s="190"/>
      <c r="BY70" s="190"/>
      <c r="BZ70" s="190">
        <f t="shared" si="238"/>
        <v>0</v>
      </c>
      <c r="CA70" s="2">
        <f t="shared" si="239"/>
        <v>426.67865367510063</v>
      </c>
      <c r="CD70" s="2"/>
      <c r="CE70" s="2"/>
      <c r="CF70" s="2"/>
      <c r="CG70" s="2"/>
      <c r="CH70" s="2"/>
      <c r="CI70" s="2"/>
      <c r="CL70" s="2"/>
      <c r="CM70" s="2"/>
      <c r="CN70" s="2"/>
      <c r="CO70" s="2"/>
      <c r="CP70" s="2"/>
      <c r="CQ70" s="2"/>
      <c r="CS70" s="2"/>
      <c r="CT70" s="2"/>
      <c r="CU70" s="2"/>
      <c r="CV70" s="2"/>
      <c r="CW70" s="2"/>
      <c r="CX70" s="2"/>
      <c r="CZ70" s="2"/>
      <c r="DA70" s="2"/>
      <c r="DB70" s="2"/>
      <c r="DC70" s="2"/>
      <c r="DD70" s="2"/>
      <c r="DE70" s="2"/>
      <c r="DG70" s="1"/>
      <c r="DH70" s="1"/>
      <c r="DI70" s="1"/>
      <c r="DJ70" s="1"/>
      <c r="DK70" s="1"/>
      <c r="DL70" s="1"/>
      <c r="DO70" s="97"/>
      <c r="DP70" s="97"/>
      <c r="DQ70" s="97"/>
      <c r="DR70" s="97"/>
      <c r="DS70" s="97"/>
      <c r="DT70" s="97"/>
    </row>
    <row r="71" spans="2:124" x14ac:dyDescent="0.35">
      <c r="B71" s="2"/>
      <c r="C71" s="2"/>
      <c r="D71" s="2"/>
      <c r="E71" s="2"/>
      <c r="F71" s="2"/>
      <c r="G71" s="2"/>
      <c r="I71" s="158">
        <f t="shared" si="179"/>
        <v>2026</v>
      </c>
      <c r="J71" s="79">
        <f t="shared" si="193"/>
        <v>254.13399376024498</v>
      </c>
      <c r="K71" s="79">
        <f t="shared" si="194"/>
        <v>3.8673851144186622</v>
      </c>
      <c r="L71" s="79">
        <f t="shared" si="195"/>
        <v>0.15565645476665149</v>
      </c>
      <c r="M71" s="79">
        <f t="shared" si="196"/>
        <v>108.28678320372254</v>
      </c>
      <c r="N71" s="79">
        <f t="shared" si="197"/>
        <v>41.24896051316265</v>
      </c>
      <c r="O71" s="79">
        <f t="shared" si="198"/>
        <v>403.66973747713018</v>
      </c>
      <c r="P71" s="79"/>
      <c r="Q71" s="79"/>
      <c r="R71" s="79">
        <f t="shared" si="199"/>
        <v>0</v>
      </c>
      <c r="S71" s="162"/>
      <c r="T71" s="162">
        <f t="shared" si="200"/>
        <v>257.3855243868191</v>
      </c>
      <c r="U71" s="162">
        <f t="shared" si="201"/>
        <v>3.7563633156571701</v>
      </c>
      <c r="V71" s="162">
        <f t="shared" si="202"/>
        <v>0.15119375624485237</v>
      </c>
      <c r="W71" s="162">
        <f t="shared" si="203"/>
        <v>105.17817283840074</v>
      </c>
      <c r="X71" s="162">
        <f t="shared" si="204"/>
        <v>40.06634540488588</v>
      </c>
      <c r="Y71" s="162">
        <f t="shared" si="205"/>
        <v>402.63004263010566</v>
      </c>
      <c r="Z71" s="162"/>
      <c r="AA71" s="162"/>
      <c r="AB71" s="162">
        <f t="shared" si="206"/>
        <v>0</v>
      </c>
      <c r="AC71" s="173">
        <f t="shared" si="207"/>
        <v>445.03126424742572</v>
      </c>
      <c r="AD71" s="173">
        <f t="shared" si="208"/>
        <v>251.79790754886619</v>
      </c>
      <c r="AE71" s="173">
        <f t="shared" si="209"/>
        <v>3.9380353499941578</v>
      </c>
      <c r="AF71" s="178">
        <f t="shared" si="210"/>
        <v>0.15849635382597824</v>
      </c>
      <c r="AG71" s="173">
        <f t="shared" si="211"/>
        <v>110.26498979983641</v>
      </c>
      <c r="AH71" s="173">
        <f t="shared" si="212"/>
        <v>42.001533763884233</v>
      </c>
      <c r="AI71" s="173">
        <f t="shared" si="213"/>
        <v>404.06443111258682</v>
      </c>
      <c r="AJ71" s="173"/>
      <c r="AK71" s="173"/>
      <c r="AL71" s="173">
        <f t="shared" si="214"/>
        <v>0</v>
      </c>
      <c r="AM71" s="179">
        <f t="shared" si="215"/>
        <v>432.83957758573609</v>
      </c>
      <c r="AN71" s="179">
        <f t="shared" si="216"/>
        <v>249.29926264264137</v>
      </c>
      <c r="AO71" s="179">
        <f t="shared" si="217"/>
        <v>4.0086855855696539</v>
      </c>
      <c r="AP71" s="179">
        <f t="shared" si="218"/>
        <v>0.16133625288530495</v>
      </c>
      <c r="AQ71" s="179">
        <f t="shared" si="219"/>
        <v>112.24319639595029</v>
      </c>
      <c r="AR71" s="179">
        <f t="shared" si="220"/>
        <v>42.754107014605815</v>
      </c>
      <c r="AS71" s="179">
        <f t="shared" si="221"/>
        <v>404.29656605319747</v>
      </c>
      <c r="AT71" s="179"/>
      <c r="AU71" s="179"/>
      <c r="AV71" s="179">
        <f t="shared" si="222"/>
        <v>0</v>
      </c>
      <c r="AW71" s="184">
        <f t="shared" si="223"/>
        <v>428.09836610619016</v>
      </c>
      <c r="AX71" s="184">
        <f t="shared" si="224"/>
        <v>245.75550742167164</v>
      </c>
      <c r="AY71" s="184">
        <f t="shared" si="225"/>
        <v>4.0843822665433978</v>
      </c>
      <c r="AZ71" s="184">
        <f t="shared" si="226"/>
        <v>0.1643790018774407</v>
      </c>
      <c r="BA71" s="184">
        <f t="shared" si="227"/>
        <v>114.36270346321513</v>
      </c>
      <c r="BB71" s="184">
        <f t="shared" si="228"/>
        <v>43.560435497521787</v>
      </c>
      <c r="BC71" s="184">
        <f t="shared" si="229"/>
        <v>399.2642105668163</v>
      </c>
      <c r="BD71" s="184"/>
      <c r="BE71" s="184"/>
      <c r="BF71" s="184">
        <f t="shared" si="230"/>
        <v>0</v>
      </c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190">
        <f t="shared" si="231"/>
        <v>480</v>
      </c>
      <c r="BR71" s="190">
        <f t="shared" si="232"/>
        <v>289.53630882577312</v>
      </c>
      <c r="BS71" s="190">
        <f t="shared" si="233"/>
        <v>4.0106734120364989</v>
      </c>
      <c r="BT71" s="190">
        <f t="shared" si="234"/>
        <v>0.15315339451345072</v>
      </c>
      <c r="BU71" s="190">
        <f t="shared" si="235"/>
        <v>112.29885553702198</v>
      </c>
      <c r="BV71" s="190">
        <f t="shared" si="236"/>
        <v>40.585649546064445</v>
      </c>
      <c r="BW71" s="190">
        <f t="shared" si="237"/>
        <v>442.42081390885954</v>
      </c>
      <c r="BX71" s="190"/>
      <c r="BY71" s="190"/>
      <c r="BZ71" s="190">
        <f t="shared" si="238"/>
        <v>0</v>
      </c>
      <c r="CA71" s="2">
        <f t="shared" si="239"/>
        <v>426.67865367510063</v>
      </c>
      <c r="CD71" s="2"/>
      <c r="CE71" s="2"/>
      <c r="CF71" s="2"/>
      <c r="CG71" s="2"/>
      <c r="CH71" s="2"/>
      <c r="CI71" s="2"/>
      <c r="CL71" s="2"/>
      <c r="CM71" s="2"/>
      <c r="CN71" s="2"/>
      <c r="CO71" s="2"/>
      <c r="CP71" s="2"/>
      <c r="CQ71" s="2"/>
      <c r="CS71" s="2"/>
      <c r="CT71" s="2"/>
      <c r="CU71" s="2"/>
      <c r="CV71" s="2"/>
      <c r="CW71" s="2"/>
      <c r="CX71" s="2"/>
      <c r="CZ71" s="2"/>
      <c r="DA71" s="2"/>
      <c r="DB71" s="2"/>
      <c r="DC71" s="2"/>
      <c r="DD71" s="2"/>
      <c r="DE71" s="2"/>
      <c r="DG71" s="1"/>
      <c r="DH71" s="1"/>
      <c r="DI71" s="1"/>
      <c r="DJ71" s="1"/>
      <c r="DK71" s="1"/>
      <c r="DL71" s="1"/>
      <c r="DO71" s="97"/>
      <c r="DP71" s="97"/>
      <c r="DQ71" s="97"/>
      <c r="DR71" s="97"/>
      <c r="DS71" s="97"/>
      <c r="DT71" s="97"/>
    </row>
    <row r="72" spans="2:124" x14ac:dyDescent="0.35">
      <c r="B72" s="2"/>
      <c r="C72" s="2"/>
      <c r="D72" s="2"/>
      <c r="E72" s="2"/>
      <c r="F72" s="2"/>
      <c r="G72" s="2"/>
      <c r="I72" s="158">
        <f t="shared" si="179"/>
        <v>2027</v>
      </c>
      <c r="J72" s="79">
        <f t="shared" si="193"/>
        <v>280.09845612316155</v>
      </c>
      <c r="K72" s="79">
        <f t="shared" si="194"/>
        <v>4.3170827447625886</v>
      </c>
      <c r="L72" s="79">
        <f t="shared" si="195"/>
        <v>0.17386100704308294</v>
      </c>
      <c r="M72" s="79">
        <f t="shared" si="196"/>
        <v>120.87831685335246</v>
      </c>
      <c r="N72" s="79">
        <f t="shared" si="197"/>
        <v>46.073166866416983</v>
      </c>
      <c r="O72" s="79">
        <f t="shared" si="198"/>
        <v>447.04993984293105</v>
      </c>
      <c r="P72" s="79"/>
      <c r="Q72" s="79"/>
      <c r="R72" s="79">
        <f t="shared" si="199"/>
        <v>0</v>
      </c>
      <c r="S72" s="162"/>
      <c r="T72" s="162">
        <f t="shared" si="200"/>
        <v>285.17069814820456</v>
      </c>
      <c r="U72" s="162">
        <f t="shared" si="201"/>
        <v>4.161652226496499</v>
      </c>
      <c r="V72" s="162">
        <f t="shared" si="202"/>
        <v>0.16761322911256415</v>
      </c>
      <c r="W72" s="162">
        <f t="shared" si="203"/>
        <v>116.52626234190195</v>
      </c>
      <c r="X72" s="162">
        <f t="shared" si="204"/>
        <v>44.417505714829502</v>
      </c>
      <c r="Y72" s="162">
        <f t="shared" si="205"/>
        <v>446.11446620493598</v>
      </c>
      <c r="Z72" s="162"/>
      <c r="AA72" s="162"/>
      <c r="AB72" s="162">
        <f t="shared" si="206"/>
        <v>0</v>
      </c>
      <c r="AC72" s="173">
        <f t="shared" si="207"/>
        <v>445.03126424742572</v>
      </c>
      <c r="AD72" s="173">
        <f t="shared" si="208"/>
        <v>276.48821118058521</v>
      </c>
      <c r="AE72" s="173">
        <f t="shared" si="209"/>
        <v>4.4159930745682816</v>
      </c>
      <c r="AF72" s="178">
        <f t="shared" si="210"/>
        <v>0.17783686572614035</v>
      </c>
      <c r="AG72" s="173">
        <f t="shared" si="211"/>
        <v>123.64780608791189</v>
      </c>
      <c r="AH72" s="173">
        <f t="shared" si="212"/>
        <v>47.126769417427198</v>
      </c>
      <c r="AI72" s="173">
        <f t="shared" si="213"/>
        <v>447.26278668592425</v>
      </c>
      <c r="AJ72" s="173"/>
      <c r="AK72" s="173"/>
      <c r="AL72" s="173">
        <f t="shared" si="214"/>
        <v>0</v>
      </c>
      <c r="AM72" s="179">
        <f t="shared" si="215"/>
        <v>432.83957758573609</v>
      </c>
      <c r="AN72" s="179">
        <f t="shared" si="216"/>
        <v>272.65992343773638</v>
      </c>
      <c r="AO72" s="179">
        <f t="shared" si="217"/>
        <v>4.5149034043739764</v>
      </c>
      <c r="AP72" s="179">
        <f t="shared" si="218"/>
        <v>0.18181272440919777</v>
      </c>
      <c r="AQ72" s="179">
        <f t="shared" si="219"/>
        <v>126.41729532247132</v>
      </c>
      <c r="AR72" s="179">
        <f t="shared" si="220"/>
        <v>48.180371968437413</v>
      </c>
      <c r="AS72" s="179">
        <f t="shared" si="221"/>
        <v>447.25759072864514</v>
      </c>
      <c r="AT72" s="179"/>
      <c r="AU72" s="179"/>
      <c r="AV72" s="179">
        <f t="shared" si="222"/>
        <v>0</v>
      </c>
      <c r="AW72" s="184">
        <f t="shared" si="223"/>
        <v>428.09836610619016</v>
      </c>
      <c r="AX72" s="184">
        <f t="shared" si="224"/>
        <v>268.79698942958038</v>
      </c>
      <c r="AY72" s="184">
        <f t="shared" si="225"/>
        <v>4.6208787577372181</v>
      </c>
      <c r="AZ72" s="184">
        <f t="shared" si="226"/>
        <v>0.1860725729981878</v>
      </c>
      <c r="BA72" s="184">
        <f t="shared" si="227"/>
        <v>129.38460521664209</v>
      </c>
      <c r="BB72" s="184">
        <f t="shared" si="228"/>
        <v>49.309231844519772</v>
      </c>
      <c r="BC72" s="184">
        <f t="shared" si="229"/>
        <v>443.07639067514998</v>
      </c>
      <c r="BD72" s="184"/>
      <c r="BE72" s="184"/>
      <c r="BF72" s="184">
        <f t="shared" si="230"/>
        <v>0</v>
      </c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190">
        <f t="shared" si="231"/>
        <v>480</v>
      </c>
      <c r="BR72" s="190">
        <f t="shared" si="232"/>
        <v>327.40718747120451</v>
      </c>
      <c r="BS72" s="190">
        <f t="shared" si="233"/>
        <v>4.5513215908532345</v>
      </c>
      <c r="BT72" s="190">
        <f t="shared" si="234"/>
        <v>0.17343182307714633</v>
      </c>
      <c r="BU72" s="190">
        <f t="shared" si="235"/>
        <v>127.43700454389058</v>
      </c>
      <c r="BV72" s="190">
        <f t="shared" si="236"/>
        <v>45.95943311544378</v>
      </c>
      <c r="BW72" s="190">
        <f t="shared" si="237"/>
        <v>500.80362513053888</v>
      </c>
      <c r="BX72" s="190"/>
      <c r="BY72" s="190"/>
      <c r="BZ72" s="190">
        <f t="shared" si="238"/>
        <v>0</v>
      </c>
      <c r="CA72" s="2">
        <f t="shared" si="239"/>
        <v>426.67865367510063</v>
      </c>
      <c r="CD72" s="2"/>
      <c r="CE72" s="2"/>
      <c r="CF72" s="2"/>
      <c r="CG72" s="2"/>
      <c r="CH72" s="2"/>
      <c r="CI72" s="2"/>
      <c r="CL72" s="2"/>
      <c r="CM72" s="2"/>
      <c r="CN72" s="2"/>
      <c r="CO72" s="2"/>
      <c r="CP72" s="2"/>
      <c r="CQ72" s="2"/>
      <c r="CS72" s="2"/>
      <c r="CT72" s="2"/>
      <c r="CU72" s="2"/>
      <c r="CV72" s="2"/>
      <c r="CW72" s="2"/>
      <c r="CX72" s="2"/>
      <c r="CZ72" s="2"/>
      <c r="DA72" s="2"/>
      <c r="DB72" s="2"/>
      <c r="DC72" s="2"/>
      <c r="DD72" s="2"/>
      <c r="DE72" s="2"/>
      <c r="DG72" s="1"/>
      <c r="DH72" s="1"/>
      <c r="DI72" s="1"/>
      <c r="DJ72" s="1"/>
      <c r="DK72" s="1"/>
      <c r="DL72" s="1"/>
      <c r="DO72" s="97"/>
      <c r="DP72" s="97"/>
      <c r="DQ72" s="97"/>
      <c r="DR72" s="97"/>
      <c r="DS72" s="97"/>
      <c r="DT72" s="97"/>
    </row>
    <row r="73" spans="2:124" x14ac:dyDescent="0.35">
      <c r="B73" s="2"/>
      <c r="C73" s="2"/>
      <c r="D73" s="2"/>
      <c r="E73" s="2"/>
      <c r="F73" s="2"/>
      <c r="G73" s="2"/>
      <c r="I73" s="158">
        <f t="shared" si="179"/>
        <v>2028</v>
      </c>
      <c r="J73" s="79">
        <f t="shared" si="193"/>
        <v>303.33091107763227</v>
      </c>
      <c r="K73" s="79">
        <f t="shared" si="194"/>
        <v>4.7397591979720932</v>
      </c>
      <c r="L73" s="79">
        <f t="shared" si="195"/>
        <v>0.19099324303509732</v>
      </c>
      <c r="M73" s="79">
        <f t="shared" si="196"/>
        <v>132.71325754321859</v>
      </c>
      <c r="N73" s="79">
        <f t="shared" si="197"/>
        <v>50.61320940430079</v>
      </c>
      <c r="O73" s="79">
        <f t="shared" si="198"/>
        <v>486.65737802515167</v>
      </c>
      <c r="P73" s="79"/>
      <c r="Q73" s="79"/>
      <c r="R73" s="79">
        <f t="shared" si="199"/>
        <v>0</v>
      </c>
      <c r="S73" s="162"/>
      <c r="T73" s="162">
        <f t="shared" si="200"/>
        <v>310.47478830754676</v>
      </c>
      <c r="U73" s="162">
        <f t="shared" si="201"/>
        <v>4.5325185069506402</v>
      </c>
      <c r="V73" s="162">
        <f t="shared" si="202"/>
        <v>0.18266287246107227</v>
      </c>
      <c r="W73" s="162">
        <f t="shared" si="203"/>
        <v>126.91051819461791</v>
      </c>
      <c r="X73" s="162">
        <f t="shared" si="204"/>
        <v>48.405661202184149</v>
      </c>
      <c r="Y73" s="162">
        <f t="shared" si="205"/>
        <v>485.79096770434876</v>
      </c>
      <c r="Z73" s="162"/>
      <c r="AA73" s="162"/>
      <c r="AB73" s="162">
        <f t="shared" si="206"/>
        <v>0</v>
      </c>
      <c r="AC73" s="173">
        <f t="shared" si="207"/>
        <v>445.03126424742572</v>
      </c>
      <c r="AD73" s="173">
        <f t="shared" si="208"/>
        <v>298.29382594663218</v>
      </c>
      <c r="AE73" s="173">
        <f t="shared" si="209"/>
        <v>4.8716396377130167</v>
      </c>
      <c r="AF73" s="178">
        <f t="shared" si="210"/>
        <v>0.19629438794584053</v>
      </c>
      <c r="AG73" s="173">
        <f t="shared" si="211"/>
        <v>136.4059098559645</v>
      </c>
      <c r="AH73" s="173">
        <f t="shared" si="212"/>
        <v>52.018012805647743</v>
      </c>
      <c r="AI73" s="173">
        <f t="shared" si="213"/>
        <v>486.71774860824434</v>
      </c>
      <c r="AJ73" s="173"/>
      <c r="AK73" s="173"/>
      <c r="AL73" s="173">
        <f t="shared" si="214"/>
        <v>0</v>
      </c>
      <c r="AM73" s="179">
        <f t="shared" si="215"/>
        <v>432.83957758573609</v>
      </c>
      <c r="AN73" s="179">
        <f t="shared" si="216"/>
        <v>292.99781499030848</v>
      </c>
      <c r="AO73" s="179">
        <f t="shared" si="217"/>
        <v>5.0035200774539437</v>
      </c>
      <c r="AP73" s="179">
        <f t="shared" si="218"/>
        <v>0.20159553285658374</v>
      </c>
      <c r="AQ73" s="179">
        <f t="shared" si="219"/>
        <v>140.0985621687104</v>
      </c>
      <c r="AR73" s="179">
        <f t="shared" si="220"/>
        <v>53.422816206994696</v>
      </c>
      <c r="AS73" s="179">
        <f t="shared" si="221"/>
        <v>486.51919336601361</v>
      </c>
      <c r="AT73" s="179"/>
      <c r="AU73" s="179"/>
      <c r="AV73" s="179">
        <f t="shared" si="222"/>
        <v>0</v>
      </c>
      <c r="AW73" s="184">
        <f t="shared" si="223"/>
        <v>428.09836610619016</v>
      </c>
      <c r="AX73" s="184">
        <f t="shared" si="224"/>
        <v>288.71013316466281</v>
      </c>
      <c r="AY73" s="184">
        <f t="shared" si="225"/>
        <v>5.1448205486049323</v>
      </c>
      <c r="AZ73" s="184">
        <f t="shared" si="226"/>
        <v>0.20727533097523715</v>
      </c>
      <c r="BA73" s="184">
        <f t="shared" si="227"/>
        <v>144.05497536093807</v>
      </c>
      <c r="BB73" s="184">
        <f t="shared" si="228"/>
        <v>54.927962708437846</v>
      </c>
      <c r="BC73" s="184">
        <f t="shared" si="229"/>
        <v>483.27863541844647</v>
      </c>
      <c r="BD73" s="184"/>
      <c r="BE73" s="184"/>
      <c r="BF73" s="184">
        <f t="shared" si="230"/>
        <v>0</v>
      </c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190">
        <f t="shared" si="231"/>
        <v>480</v>
      </c>
      <c r="BR73" s="190">
        <f t="shared" si="232"/>
        <v>363.99096603106369</v>
      </c>
      <c r="BS73" s="190">
        <f t="shared" si="233"/>
        <v>5.0809412588821745</v>
      </c>
      <c r="BT73" s="190">
        <f t="shared" si="234"/>
        <v>0.19327209023720182</v>
      </c>
      <c r="BU73" s="190">
        <f t="shared" si="235"/>
        <v>142.2663552487009</v>
      </c>
      <c r="BV73" s="190">
        <f t="shared" si="236"/>
        <v>51.217103912858484</v>
      </c>
      <c r="BW73" s="190">
        <f t="shared" si="237"/>
        <v>557.47442519262313</v>
      </c>
      <c r="BX73" s="190"/>
      <c r="BY73" s="190"/>
      <c r="BZ73" s="190">
        <f t="shared" si="238"/>
        <v>0</v>
      </c>
      <c r="CA73" s="2">
        <f t="shared" si="239"/>
        <v>426.67865367510063</v>
      </c>
      <c r="CD73" s="2"/>
      <c r="CE73" s="2"/>
      <c r="CF73" s="2"/>
      <c r="CG73" s="2"/>
      <c r="CH73" s="2"/>
      <c r="CI73" s="2"/>
      <c r="CL73" s="2"/>
      <c r="CM73" s="2"/>
      <c r="CN73" s="2"/>
      <c r="CO73" s="2"/>
      <c r="CP73" s="2"/>
      <c r="CQ73" s="2"/>
      <c r="CS73" s="2"/>
      <c r="CT73" s="2"/>
      <c r="CU73" s="2"/>
      <c r="CV73" s="2"/>
      <c r="CW73" s="2"/>
      <c r="CX73" s="2"/>
      <c r="CZ73" s="2"/>
      <c r="DA73" s="2"/>
      <c r="DB73" s="2"/>
      <c r="DC73" s="2"/>
      <c r="DD73" s="2"/>
      <c r="DE73" s="2"/>
      <c r="DG73" s="1"/>
      <c r="DH73" s="1"/>
      <c r="DI73" s="1"/>
      <c r="DJ73" s="1"/>
      <c r="DK73" s="1"/>
      <c r="DL73" s="1"/>
      <c r="DO73" s="97"/>
      <c r="DP73" s="97"/>
      <c r="DQ73" s="97"/>
      <c r="DR73" s="97"/>
      <c r="DS73" s="97"/>
      <c r="DT73" s="97"/>
    </row>
    <row r="74" spans="2:124" x14ac:dyDescent="0.35">
      <c r="B74" s="2"/>
      <c r="C74" s="2"/>
      <c r="D74" s="2"/>
      <c r="E74" s="2"/>
      <c r="F74" s="2"/>
      <c r="G74" s="2"/>
      <c r="I74" s="158">
        <f t="shared" si="179"/>
        <v>2029</v>
      </c>
      <c r="J74" s="79">
        <f t="shared" si="193"/>
        <v>324.23368909839945</v>
      </c>
      <c r="K74" s="79">
        <f t="shared" si="194"/>
        <v>5.136239897251845</v>
      </c>
      <c r="L74" s="79">
        <f t="shared" si="195"/>
        <v>0.20711283133366953</v>
      </c>
      <c r="M74" s="79">
        <f t="shared" si="196"/>
        <v>143.81471712305165</v>
      </c>
      <c r="N74" s="79">
        <f t="shared" si="197"/>
        <v>54.88490030342242</v>
      </c>
      <c r="O74" s="79">
        <f t="shared" si="198"/>
        <v>522.93330652487361</v>
      </c>
      <c r="P74" s="79"/>
      <c r="Q74" s="79"/>
      <c r="R74" s="79">
        <f t="shared" si="199"/>
        <v>0</v>
      </c>
      <c r="S74" s="162"/>
      <c r="T74" s="162">
        <f t="shared" si="200"/>
        <v>333.64269442344465</v>
      </c>
      <c r="U74" s="162">
        <f t="shared" si="201"/>
        <v>4.8697875802242629</v>
      </c>
      <c r="V74" s="162">
        <f t="shared" si="202"/>
        <v>0.1964023548813516</v>
      </c>
      <c r="W74" s="162">
        <f t="shared" si="203"/>
        <v>136.35405224627934</v>
      </c>
      <c r="X74" s="162">
        <f t="shared" si="204"/>
        <v>52.046624043558168</v>
      </c>
      <c r="Y74" s="162">
        <f t="shared" si="205"/>
        <v>522.04337071328212</v>
      </c>
      <c r="Z74" s="162"/>
      <c r="AA74" s="162"/>
      <c r="AB74" s="162">
        <f t="shared" si="206"/>
        <v>0</v>
      </c>
      <c r="AC74" s="173">
        <f t="shared" si="207"/>
        <v>445.03126424742572</v>
      </c>
      <c r="AD74" s="173">
        <f t="shared" si="208"/>
        <v>317.66283237359221</v>
      </c>
      <c r="AE74" s="173">
        <f t="shared" si="209"/>
        <v>5.3058004626330328</v>
      </c>
      <c r="AF74" s="178">
        <f t="shared" si="210"/>
        <v>0.21392858907605367</v>
      </c>
      <c r="AG74" s="173">
        <f t="shared" si="211"/>
        <v>148.56241295372496</v>
      </c>
      <c r="AH74" s="173">
        <f t="shared" si="212"/>
        <v>56.691076105154217</v>
      </c>
      <c r="AI74" s="173">
        <f t="shared" si="213"/>
        <v>522.91632143247125</v>
      </c>
      <c r="AJ74" s="173"/>
      <c r="AK74" s="173"/>
      <c r="AL74" s="173">
        <f t="shared" si="214"/>
        <v>0</v>
      </c>
      <c r="AM74" s="179">
        <f t="shared" si="215"/>
        <v>432.83957758573609</v>
      </c>
      <c r="AN74" s="179">
        <f t="shared" si="216"/>
        <v>310.80968809486069</v>
      </c>
      <c r="AO74" s="179">
        <f t="shared" si="217"/>
        <v>5.4753610280142242</v>
      </c>
      <c r="AP74" s="179">
        <f t="shared" si="218"/>
        <v>0.2207443468184378</v>
      </c>
      <c r="AQ74" s="179">
        <f t="shared" si="219"/>
        <v>153.31010878439827</v>
      </c>
      <c r="AR74" s="179">
        <f t="shared" si="220"/>
        <v>58.497251906886021</v>
      </c>
      <c r="AS74" s="179">
        <f t="shared" si="221"/>
        <v>522.61704878614501</v>
      </c>
      <c r="AT74" s="179"/>
      <c r="AU74" s="179"/>
      <c r="AV74" s="179">
        <f t="shared" si="222"/>
        <v>0</v>
      </c>
      <c r="AW74" s="184">
        <f t="shared" si="223"/>
        <v>428.09836610619016</v>
      </c>
      <c r="AX74" s="184">
        <f t="shared" si="224"/>
        <v>305.49493862691895</v>
      </c>
      <c r="AY74" s="184">
        <f t="shared" si="225"/>
        <v>5.6570330623512097</v>
      </c>
      <c r="AZ74" s="184">
        <f t="shared" si="226"/>
        <v>0.22804694439956358</v>
      </c>
      <c r="BA74" s="184">
        <f t="shared" si="227"/>
        <v>158.39692574583384</v>
      </c>
      <c r="BB74" s="184">
        <f t="shared" si="228"/>
        <v>60.432440265884352</v>
      </c>
      <c r="BC74" s="184">
        <f t="shared" si="229"/>
        <v>519.90986882304492</v>
      </c>
      <c r="BD74" s="184"/>
      <c r="BE74" s="184"/>
      <c r="BF74" s="184">
        <f t="shared" si="230"/>
        <v>0</v>
      </c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190">
        <f t="shared" si="231"/>
        <v>480</v>
      </c>
      <c r="BR74" s="190">
        <f t="shared" si="232"/>
        <v>400.14912385058449</v>
      </c>
      <c r="BS74" s="190">
        <f t="shared" si="233"/>
        <v>5.5992996246670605</v>
      </c>
      <c r="BT74" s="190">
        <f t="shared" si="234"/>
        <v>0.21270160769873511</v>
      </c>
      <c r="BU74" s="190">
        <f t="shared" si="235"/>
        <v>156.78038949067772</v>
      </c>
      <c r="BV74" s="190">
        <f t="shared" si="236"/>
        <v>56.365926040164801</v>
      </c>
      <c r="BW74" s="190">
        <f t="shared" si="237"/>
        <v>613.29543938142706</v>
      </c>
      <c r="BX74" s="190"/>
      <c r="BY74" s="190"/>
      <c r="BZ74" s="190">
        <f t="shared" si="238"/>
        <v>0</v>
      </c>
      <c r="CA74" s="2">
        <f t="shared" si="239"/>
        <v>426.67865367510063</v>
      </c>
      <c r="CD74" s="2"/>
      <c r="CE74" s="2"/>
      <c r="CF74" s="2"/>
      <c r="CG74" s="2"/>
      <c r="CH74" s="2"/>
      <c r="CI74" s="2"/>
      <c r="CL74" s="2"/>
      <c r="CM74" s="2"/>
      <c r="CN74" s="2"/>
      <c r="CO74" s="2"/>
      <c r="CP74" s="2"/>
      <c r="CQ74" s="2"/>
      <c r="CS74" s="2"/>
      <c r="CT74" s="2"/>
      <c r="CU74" s="2"/>
      <c r="CV74" s="2"/>
      <c r="CW74" s="2"/>
      <c r="CX74" s="2"/>
      <c r="CZ74" s="2"/>
      <c r="DA74" s="2"/>
      <c r="DB74" s="2"/>
      <c r="DC74" s="2"/>
      <c r="DD74" s="2"/>
      <c r="DE74" s="2"/>
      <c r="DG74" s="1"/>
      <c r="DH74" s="1"/>
      <c r="DI74" s="1"/>
      <c r="DJ74" s="1"/>
      <c r="DK74" s="1"/>
      <c r="DL74" s="1"/>
      <c r="DO74" s="97"/>
      <c r="DP74" s="97"/>
      <c r="DQ74" s="97"/>
      <c r="DR74" s="97"/>
      <c r="DS74" s="97"/>
      <c r="DT74" s="97"/>
    </row>
    <row r="75" spans="2:124" x14ac:dyDescent="0.35">
      <c r="B75" s="2"/>
      <c r="C75" s="2"/>
      <c r="D75" s="2"/>
      <c r="E75" s="2"/>
      <c r="F75" s="2"/>
      <c r="G75" s="2"/>
      <c r="I75" s="158">
        <f t="shared" si="179"/>
        <v>2030</v>
      </c>
      <c r="J75" s="79">
        <f t="shared" si="193"/>
        <v>343.42470033402498</v>
      </c>
      <c r="K75" s="79">
        <f t="shared" si="194"/>
        <v>5.5084346742561294</v>
      </c>
      <c r="L75" s="79">
        <f t="shared" si="195"/>
        <v>0.22235783077112431</v>
      </c>
      <c r="M75" s="79">
        <f t="shared" si="196"/>
        <v>154.2361708791716</v>
      </c>
      <c r="N75" s="79">
        <f t="shared" si="197"/>
        <v>58.924825154347936</v>
      </c>
      <c r="O75" s="79">
        <f t="shared" si="198"/>
        <v>556.58569636754464</v>
      </c>
      <c r="P75" s="79"/>
      <c r="Q75" s="79"/>
      <c r="R75" s="79">
        <f t="shared" si="199"/>
        <v>0</v>
      </c>
      <c r="S75" s="162"/>
      <c r="T75" s="162">
        <f t="shared" si="200"/>
        <v>355.24170956582549</v>
      </c>
      <c r="U75" s="162">
        <f t="shared" si="201"/>
        <v>5.1753692779716509</v>
      </c>
      <c r="V75" s="162">
        <f t="shared" si="202"/>
        <v>0.2089697352057269</v>
      </c>
      <c r="W75" s="162">
        <f t="shared" si="203"/>
        <v>144.91033978320621</v>
      </c>
      <c r="X75" s="162">
        <f t="shared" si="204"/>
        <v>55.376979829517623</v>
      </c>
      <c r="Y75" s="162">
        <f t="shared" si="205"/>
        <v>555.52902917854931</v>
      </c>
      <c r="Z75" s="162"/>
      <c r="AA75" s="162"/>
      <c r="AB75" s="162">
        <f t="shared" si="206"/>
        <v>0</v>
      </c>
      <c r="AC75" s="173">
        <f t="shared" si="207"/>
        <v>445.03126424742572</v>
      </c>
      <c r="AD75" s="173">
        <f t="shared" si="208"/>
        <v>335.2491566082864</v>
      </c>
      <c r="AE75" s="173">
        <f t="shared" si="209"/>
        <v>5.7203853809826137</v>
      </c>
      <c r="AF75" s="178">
        <f t="shared" si="210"/>
        <v>0.23087752794910449</v>
      </c>
      <c r="AG75" s="173">
        <f t="shared" si="211"/>
        <v>160.17079066751324</v>
      </c>
      <c r="AH75" s="173">
        <f t="shared" si="212"/>
        <v>61.182544906512682</v>
      </c>
      <c r="AI75" s="173">
        <f t="shared" si="213"/>
        <v>556.60249218231218</v>
      </c>
      <c r="AJ75" s="173"/>
      <c r="AK75" s="173"/>
      <c r="AL75" s="173">
        <f t="shared" si="214"/>
        <v>0</v>
      </c>
      <c r="AM75" s="179">
        <f t="shared" si="215"/>
        <v>432.83957758573609</v>
      </c>
      <c r="AN75" s="179">
        <f t="shared" si="216"/>
        <v>326.79035192326518</v>
      </c>
      <c r="AO75" s="179">
        <f t="shared" si="217"/>
        <v>5.9323360877091025</v>
      </c>
      <c r="AP75" s="179">
        <f t="shared" si="218"/>
        <v>0.23939722512708467</v>
      </c>
      <c r="AQ75" s="179">
        <f t="shared" si="219"/>
        <v>166.10541045585487</v>
      </c>
      <c r="AR75" s="179">
        <f t="shared" si="220"/>
        <v>63.440264658677435</v>
      </c>
      <c r="AS75" s="179">
        <f t="shared" si="221"/>
        <v>556.33602703779752</v>
      </c>
      <c r="AT75" s="179"/>
      <c r="AU75" s="179"/>
      <c r="AV75" s="179">
        <f t="shared" si="222"/>
        <v>0</v>
      </c>
      <c r="AW75" s="184">
        <f t="shared" si="223"/>
        <v>428.09836610619016</v>
      </c>
      <c r="AX75" s="184">
        <f t="shared" si="224"/>
        <v>319.15140581634876</v>
      </c>
      <c r="AY75" s="184">
        <f t="shared" si="225"/>
        <v>6.1594261306303348</v>
      </c>
      <c r="AZ75" s="184">
        <f t="shared" si="226"/>
        <v>0.24852547210349188</v>
      </c>
      <c r="BA75" s="184">
        <f t="shared" si="227"/>
        <v>172.46393165764934</v>
      </c>
      <c r="BB75" s="184">
        <f t="shared" si="228"/>
        <v>65.859250107425353</v>
      </c>
      <c r="BC75" s="184">
        <f t="shared" si="229"/>
        <v>553.06015176583128</v>
      </c>
      <c r="BD75" s="184"/>
      <c r="BE75" s="184"/>
      <c r="BF75" s="184">
        <f t="shared" si="230"/>
        <v>0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190">
        <f t="shared" si="231"/>
        <v>480</v>
      </c>
      <c r="BR75" s="190">
        <f t="shared" si="232"/>
        <v>436.5562974253329</v>
      </c>
      <c r="BS75" s="190">
        <f t="shared" si="233"/>
        <v>6.1064478615554831</v>
      </c>
      <c r="BT75" s="190">
        <f t="shared" si="234"/>
        <v>0.23175164825741648</v>
      </c>
      <c r="BU75" s="190">
        <f t="shared" si="235"/>
        <v>170.98054012355357</v>
      </c>
      <c r="BV75" s="190">
        <f t="shared" si="236"/>
        <v>61.414186788215368</v>
      </c>
      <c r="BW75" s="190">
        <f t="shared" si="237"/>
        <v>668.9510243371019</v>
      </c>
      <c r="BX75" s="190"/>
      <c r="BY75" s="190"/>
      <c r="BZ75" s="190">
        <f t="shared" si="238"/>
        <v>0</v>
      </c>
      <c r="CA75" s="2">
        <f t="shared" si="239"/>
        <v>426.67865367510063</v>
      </c>
      <c r="CD75" s="2"/>
      <c r="CE75" s="2"/>
      <c r="CF75" s="2"/>
      <c r="CG75" s="2"/>
      <c r="CH75" s="2"/>
      <c r="CI75" s="2"/>
      <c r="CL75" s="2"/>
      <c r="CM75" s="2"/>
      <c r="CN75" s="2"/>
      <c r="CO75" s="2"/>
      <c r="CP75" s="2"/>
      <c r="CQ75" s="2"/>
      <c r="CS75" s="2"/>
      <c r="CT75" s="2"/>
      <c r="CU75" s="2"/>
      <c r="CV75" s="2"/>
      <c r="CW75" s="2"/>
      <c r="CX75" s="2"/>
      <c r="CZ75" s="2"/>
      <c r="DA75" s="2"/>
      <c r="DB75" s="2"/>
      <c r="DC75" s="2"/>
      <c r="DD75" s="2"/>
      <c r="DE75" s="2"/>
      <c r="DG75" s="1"/>
      <c r="DH75" s="1"/>
      <c r="DI75" s="1"/>
      <c r="DJ75" s="1"/>
      <c r="DK75" s="1"/>
      <c r="DL75" s="1"/>
      <c r="DO75" s="97"/>
      <c r="DP75" s="97"/>
      <c r="DQ75" s="97"/>
      <c r="DR75" s="97"/>
      <c r="DS75" s="97"/>
      <c r="DT75" s="97"/>
    </row>
    <row r="76" spans="2:124" x14ac:dyDescent="0.35">
      <c r="B76" s="2"/>
      <c r="C76" s="2"/>
      <c r="D76" s="2"/>
      <c r="E76" s="2"/>
      <c r="F76" s="2"/>
      <c r="G76" s="2"/>
      <c r="I76" s="158">
        <f t="shared" si="179"/>
        <v>2031</v>
      </c>
      <c r="J76" s="79">
        <f t="shared" si="193"/>
        <v>361.65616100786923</v>
      </c>
      <c r="K76" s="79">
        <f t="shared" si="194"/>
        <v>5.8806294512604138</v>
      </c>
      <c r="L76" s="79">
        <f t="shared" si="195"/>
        <v>0.23760283020857909</v>
      </c>
      <c r="M76" s="79">
        <f t="shared" si="196"/>
        <v>164.65762463529154</v>
      </c>
      <c r="N76" s="79">
        <f t="shared" si="197"/>
        <v>62.964750005273451</v>
      </c>
      <c r="O76" s="79">
        <f t="shared" si="198"/>
        <v>589.07653940588807</v>
      </c>
      <c r="P76" s="79"/>
      <c r="Q76" s="79"/>
      <c r="R76" s="79">
        <f t="shared" si="199"/>
        <v>-0.20199624254627588</v>
      </c>
      <c r="S76" s="162"/>
      <c r="T76" s="162">
        <f t="shared" si="200"/>
        <v>375.76077395108729</v>
      </c>
      <c r="U76" s="162">
        <f t="shared" si="201"/>
        <v>5.4809509757190398</v>
      </c>
      <c r="V76" s="162">
        <f t="shared" si="202"/>
        <v>0.22153711553010219</v>
      </c>
      <c r="W76" s="162">
        <f t="shared" si="203"/>
        <v>153.46662732013309</v>
      </c>
      <c r="X76" s="162">
        <f t="shared" si="204"/>
        <v>58.707335615477078</v>
      </c>
      <c r="Y76" s="162">
        <f t="shared" si="205"/>
        <v>587.76821909739942</v>
      </c>
      <c r="Z76" s="162"/>
      <c r="AA76" s="162"/>
      <c r="AB76" s="162">
        <f t="shared" si="206"/>
        <v>-0.16651778929797273</v>
      </c>
      <c r="AC76" s="173">
        <f t="shared" si="207"/>
        <v>445.03126424742572</v>
      </c>
      <c r="AD76" s="173">
        <f t="shared" si="208"/>
        <v>351.95616463124588</v>
      </c>
      <c r="AE76" s="173">
        <f t="shared" si="209"/>
        <v>6.1349702993321946</v>
      </c>
      <c r="AF76" s="178">
        <f t="shared" si="210"/>
        <v>0.24782646682215531</v>
      </c>
      <c r="AG76" s="173">
        <f t="shared" si="211"/>
        <v>171.77916838130153</v>
      </c>
      <c r="AH76" s="173">
        <f t="shared" si="212"/>
        <v>65.674013707871154</v>
      </c>
      <c r="AI76" s="173">
        <f t="shared" si="213"/>
        <v>589.18477328035044</v>
      </c>
      <c r="AJ76" s="173"/>
      <c r="AK76" s="173"/>
      <c r="AL76" s="173">
        <f t="shared" si="214"/>
        <v>-0.22457344006792335</v>
      </c>
      <c r="AM76" s="179">
        <f t="shared" si="215"/>
        <v>432.83957758573609</v>
      </c>
      <c r="AN76" s="179">
        <f t="shared" si="216"/>
        <v>341.97198256024944</v>
      </c>
      <c r="AO76" s="179">
        <f t="shared" si="217"/>
        <v>6.3893111474039808</v>
      </c>
      <c r="AP76" s="179">
        <f t="shared" si="218"/>
        <v>0.25805010343573154</v>
      </c>
      <c r="AQ76" s="179">
        <f t="shared" si="219"/>
        <v>178.90071212731146</v>
      </c>
      <c r="AR76" s="179">
        <f t="shared" si="220"/>
        <v>68.38327741046885</v>
      </c>
      <c r="AS76" s="179">
        <f t="shared" si="221"/>
        <v>589.00882146044023</v>
      </c>
      <c r="AT76" s="179"/>
      <c r="AU76" s="179"/>
      <c r="AV76" s="179">
        <f t="shared" si="222"/>
        <v>-0.24715063758957084</v>
      </c>
      <c r="AW76" s="184">
        <f t="shared" si="223"/>
        <v>428.09836610619016</v>
      </c>
      <c r="AX76" s="184">
        <f t="shared" si="224"/>
        <v>332.1250496463071</v>
      </c>
      <c r="AY76" s="184">
        <f t="shared" si="225"/>
        <v>6.6618191989094599</v>
      </c>
      <c r="AZ76" s="184">
        <f t="shared" si="226"/>
        <v>0.26900399980742018</v>
      </c>
      <c r="BA76" s="184">
        <f t="shared" si="227"/>
        <v>186.53093756946484</v>
      </c>
      <c r="BB76" s="184">
        <f t="shared" si="228"/>
        <v>71.286059948966354</v>
      </c>
      <c r="BC76" s="184">
        <f t="shared" si="229"/>
        <v>585.25627085706901</v>
      </c>
      <c r="BD76" s="184"/>
      <c r="BE76" s="184"/>
      <c r="BF76" s="184">
        <f t="shared" si="230"/>
        <v>-0.27134049207705008</v>
      </c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190">
        <f t="shared" si="231"/>
        <v>480</v>
      </c>
      <c r="BR76" s="190">
        <f t="shared" si="232"/>
        <v>473.68887956508757</v>
      </c>
      <c r="BS76" s="190">
        <f t="shared" si="233"/>
        <v>6.6148879160281</v>
      </c>
      <c r="BT76" s="190">
        <f t="shared" si="234"/>
        <v>0.25083260261658363</v>
      </c>
      <c r="BU76" s="190">
        <f t="shared" si="235"/>
        <v>185.21686164878685</v>
      </c>
      <c r="BV76" s="190">
        <f t="shared" si="236"/>
        <v>66.470639693394659</v>
      </c>
      <c r="BW76" s="190">
        <f t="shared" si="237"/>
        <v>725.12246973429342</v>
      </c>
      <c r="BX76" s="190"/>
      <c r="BY76" s="190"/>
      <c r="BZ76" s="190">
        <f t="shared" si="238"/>
        <v>-0.25391117297571114</v>
      </c>
      <c r="CA76" s="2">
        <f t="shared" si="239"/>
        <v>426.67865367510063</v>
      </c>
      <c r="CD76" s="2"/>
      <c r="CE76" s="2"/>
      <c r="CF76" s="2"/>
      <c r="CG76" s="2"/>
      <c r="CH76" s="2"/>
      <c r="CI76" s="2"/>
      <c r="CL76" s="2"/>
      <c r="CM76" s="2"/>
      <c r="CN76" s="2"/>
      <c r="CO76" s="2"/>
      <c r="CP76" s="2"/>
      <c r="CQ76" s="2"/>
      <c r="CS76" s="2"/>
      <c r="CT76" s="2"/>
      <c r="CU76" s="2"/>
      <c r="CV76" s="2"/>
      <c r="CW76" s="2"/>
      <c r="CX76" s="2"/>
      <c r="CZ76" s="2"/>
      <c r="DA76" s="2"/>
      <c r="DB76" s="2"/>
      <c r="DC76" s="2"/>
      <c r="DD76" s="2"/>
      <c r="DE76" s="2"/>
      <c r="DG76" s="1"/>
      <c r="DH76" s="1"/>
      <c r="DI76" s="1"/>
      <c r="DJ76" s="1"/>
      <c r="DK76" s="1"/>
      <c r="DL76" s="1"/>
      <c r="DO76" s="97"/>
      <c r="DP76" s="97"/>
      <c r="DQ76" s="97"/>
      <c r="DR76" s="97"/>
      <c r="DS76" s="97"/>
      <c r="DT76" s="97"/>
    </row>
    <row r="77" spans="2:124" x14ac:dyDescent="0.35">
      <c r="B77" s="2"/>
      <c r="C77" s="2"/>
      <c r="D77" s="2"/>
      <c r="E77" s="2"/>
      <c r="F77" s="2"/>
      <c r="G77" s="2"/>
      <c r="I77" s="158">
        <f t="shared" si="179"/>
        <v>2032</v>
      </c>
      <c r="J77" s="79">
        <f t="shared" si="193"/>
        <v>378.92807111993221</v>
      </c>
      <c r="K77" s="79">
        <f t="shared" si="194"/>
        <v>6.2528242282646982</v>
      </c>
      <c r="L77" s="79">
        <f t="shared" si="195"/>
        <v>0.25284782964603386</v>
      </c>
      <c r="M77" s="79">
        <f t="shared" si="196"/>
        <v>175.07907839141149</v>
      </c>
      <c r="N77" s="79">
        <f t="shared" si="197"/>
        <v>67.004674856198974</v>
      </c>
      <c r="O77" s="79">
        <f t="shared" si="198"/>
        <v>620.4058356399039</v>
      </c>
      <c r="P77" s="79"/>
      <c r="Q77" s="79"/>
      <c r="R77" s="79">
        <f t="shared" si="199"/>
        <v>-0.60598872763882761</v>
      </c>
      <c r="S77" s="162"/>
      <c r="T77" s="162">
        <f t="shared" si="200"/>
        <v>395.19988757923011</v>
      </c>
      <c r="U77" s="162">
        <f t="shared" si="201"/>
        <v>5.7865326734664286</v>
      </c>
      <c r="V77" s="162">
        <f t="shared" si="202"/>
        <v>0.23410449585447748</v>
      </c>
      <c r="W77" s="162">
        <f t="shared" si="203"/>
        <v>162.02291485705996</v>
      </c>
      <c r="X77" s="162">
        <f t="shared" si="204"/>
        <v>62.037691401436533</v>
      </c>
      <c r="Y77" s="162">
        <f t="shared" si="205"/>
        <v>618.76094046983258</v>
      </c>
      <c r="Z77" s="162"/>
      <c r="AA77" s="162"/>
      <c r="AB77" s="162">
        <f t="shared" si="206"/>
        <v>-0.49955336789391819</v>
      </c>
      <c r="AC77" s="173">
        <f t="shared" si="207"/>
        <v>445.03126424742572</v>
      </c>
      <c r="AD77" s="173">
        <f t="shared" si="208"/>
        <v>367.78385644247066</v>
      </c>
      <c r="AE77" s="173">
        <f t="shared" si="209"/>
        <v>6.5495552176817755</v>
      </c>
      <c r="AF77" s="178">
        <f t="shared" si="210"/>
        <v>0.26477540569520613</v>
      </c>
      <c r="AG77" s="173">
        <f t="shared" si="211"/>
        <v>183.38754609508982</v>
      </c>
      <c r="AH77" s="173">
        <f t="shared" si="212"/>
        <v>70.165482509229619</v>
      </c>
      <c r="AI77" s="173">
        <f t="shared" si="213"/>
        <v>620.66316472658605</v>
      </c>
      <c r="AJ77" s="173"/>
      <c r="AK77" s="173"/>
      <c r="AL77" s="173">
        <f t="shared" si="214"/>
        <v>-0.67372032020377004</v>
      </c>
      <c r="AM77" s="179">
        <f t="shared" si="215"/>
        <v>432.83957758573609</v>
      </c>
      <c r="AN77" s="179">
        <f t="shared" si="216"/>
        <v>356.35458000581349</v>
      </c>
      <c r="AO77" s="179">
        <f t="shared" si="217"/>
        <v>6.846286207098859</v>
      </c>
      <c r="AP77" s="179">
        <f t="shared" si="218"/>
        <v>0.27670298174437841</v>
      </c>
      <c r="AQ77" s="179">
        <f t="shared" si="219"/>
        <v>191.69601379876806</v>
      </c>
      <c r="AR77" s="179">
        <f t="shared" si="220"/>
        <v>73.326290162260264</v>
      </c>
      <c r="AS77" s="179">
        <f t="shared" si="221"/>
        <v>620.63543205407314</v>
      </c>
      <c r="AT77" s="179"/>
      <c r="AU77" s="179"/>
      <c r="AV77" s="179">
        <f t="shared" si="222"/>
        <v>-0.74145191276871247</v>
      </c>
      <c r="AW77" s="184">
        <f t="shared" si="223"/>
        <v>428.09836610619016</v>
      </c>
      <c r="AX77" s="184">
        <f t="shared" si="224"/>
        <v>344.41587011679394</v>
      </c>
      <c r="AY77" s="184">
        <f t="shared" si="225"/>
        <v>7.1642122671885851</v>
      </c>
      <c r="AZ77" s="184">
        <f t="shared" si="226"/>
        <v>0.28948252751134851</v>
      </c>
      <c r="BA77" s="184">
        <f t="shared" si="227"/>
        <v>200.59794348128034</v>
      </c>
      <c r="BB77" s="184">
        <f t="shared" si="228"/>
        <v>76.712869790507355</v>
      </c>
      <c r="BC77" s="184">
        <f t="shared" si="229"/>
        <v>616.49822609675823</v>
      </c>
      <c r="BD77" s="184"/>
      <c r="BE77" s="184"/>
      <c r="BF77" s="184">
        <f t="shared" si="230"/>
        <v>-0.81402147623115018</v>
      </c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190">
        <f t="shared" si="231"/>
        <v>480</v>
      </c>
      <c r="BR77" s="190">
        <f t="shared" si="232"/>
        <v>511.08198100242174</v>
      </c>
      <c r="BS77" s="190">
        <f t="shared" si="233"/>
        <v>7.1245117471133366</v>
      </c>
      <c r="BT77" s="190">
        <f t="shared" si="234"/>
        <v>0.26989050554102922</v>
      </c>
      <c r="BU77" s="190">
        <f t="shared" si="235"/>
        <v>199.48632891917347</v>
      </c>
      <c r="BV77" s="190">
        <f t="shared" si="236"/>
        <v>71.520983968372732</v>
      </c>
      <c r="BW77" s="190">
        <f t="shared" si="237"/>
        <v>781.32756037104082</v>
      </c>
      <c r="BX77" s="190"/>
      <c r="BY77" s="190"/>
      <c r="BZ77" s="190">
        <f t="shared" si="238"/>
        <v>-0.76173351892713348</v>
      </c>
      <c r="CA77" s="2">
        <f t="shared" si="239"/>
        <v>426.67865367510063</v>
      </c>
      <c r="CD77" s="2"/>
      <c r="CE77" s="2"/>
      <c r="CF77" s="2"/>
      <c r="CG77" s="2"/>
      <c r="CH77" s="2"/>
      <c r="CI77" s="2"/>
      <c r="CL77" s="2"/>
      <c r="CM77" s="2"/>
      <c r="CN77" s="2"/>
      <c r="CO77" s="2"/>
      <c r="CP77" s="2"/>
      <c r="CQ77" s="2"/>
      <c r="CS77" s="2"/>
      <c r="CT77" s="2"/>
      <c r="CU77" s="2"/>
      <c r="CV77" s="2"/>
      <c r="CW77" s="2"/>
      <c r="CX77" s="2"/>
      <c r="CZ77" s="2"/>
      <c r="DA77" s="2"/>
      <c r="DB77" s="2"/>
      <c r="DC77" s="2"/>
      <c r="DD77" s="2"/>
      <c r="DE77" s="2"/>
      <c r="DG77" s="1"/>
      <c r="DH77" s="1"/>
      <c r="DI77" s="1"/>
      <c r="DJ77" s="1"/>
      <c r="DK77" s="1"/>
      <c r="DL77" s="1"/>
      <c r="DO77" s="97"/>
      <c r="DP77" s="97"/>
      <c r="DQ77" s="97"/>
      <c r="DR77" s="97"/>
      <c r="DS77" s="97"/>
      <c r="DT77" s="97"/>
    </row>
    <row r="78" spans="2:124" x14ac:dyDescent="0.35">
      <c r="B78" s="2"/>
      <c r="C78" s="2"/>
      <c r="D78" s="2"/>
      <c r="E78" s="2"/>
      <c r="F78" s="2"/>
      <c r="G78" s="2"/>
      <c r="I78" s="158">
        <f t="shared" si="179"/>
        <v>2033</v>
      </c>
      <c r="J78" s="79">
        <f t="shared" si="193"/>
        <v>395.24043067021393</v>
      </c>
      <c r="K78" s="79">
        <f t="shared" si="194"/>
        <v>6.6250190052689826</v>
      </c>
      <c r="L78" s="79">
        <f t="shared" si="195"/>
        <v>0.26809282908348864</v>
      </c>
      <c r="M78" s="79">
        <f t="shared" si="196"/>
        <v>185.50053214753143</v>
      </c>
      <c r="N78" s="79">
        <f t="shared" si="197"/>
        <v>71.04459970712449</v>
      </c>
      <c r="O78" s="79">
        <f t="shared" si="198"/>
        <v>650.57358506959224</v>
      </c>
      <c r="P78" s="79"/>
      <c r="Q78" s="79"/>
      <c r="R78" s="79">
        <f t="shared" si="199"/>
        <v>-1.2119774552776552</v>
      </c>
      <c r="S78" s="162"/>
      <c r="T78" s="162">
        <f t="shared" si="200"/>
        <v>413.55905045025384</v>
      </c>
      <c r="U78" s="162">
        <f t="shared" si="201"/>
        <v>6.0921143712138175</v>
      </c>
      <c r="V78" s="162">
        <f t="shared" si="202"/>
        <v>0.24667187617885278</v>
      </c>
      <c r="W78" s="162">
        <f t="shared" si="203"/>
        <v>170.57920239398683</v>
      </c>
      <c r="X78" s="162">
        <f t="shared" si="204"/>
        <v>65.368047187395987</v>
      </c>
      <c r="Y78" s="162">
        <f t="shared" si="205"/>
        <v>648.50719329584877</v>
      </c>
      <c r="Z78" s="162"/>
      <c r="AA78" s="162"/>
      <c r="AB78" s="162">
        <f t="shared" si="206"/>
        <v>-0.99910673578783638</v>
      </c>
      <c r="AC78" s="173">
        <f t="shared" si="207"/>
        <v>445.03126424742572</v>
      </c>
      <c r="AD78" s="173">
        <f t="shared" si="208"/>
        <v>382.73223204196074</v>
      </c>
      <c r="AE78" s="173">
        <f t="shared" si="209"/>
        <v>6.9641401360313564</v>
      </c>
      <c r="AF78" s="178">
        <f t="shared" si="210"/>
        <v>0.28172434456825696</v>
      </c>
      <c r="AG78" s="173">
        <f t="shared" si="211"/>
        <v>194.9959238088781</v>
      </c>
      <c r="AH78" s="173">
        <f t="shared" si="212"/>
        <v>74.656951310588084</v>
      </c>
      <c r="AI78" s="173">
        <f t="shared" si="213"/>
        <v>651.0376665210191</v>
      </c>
      <c r="AJ78" s="173"/>
      <c r="AK78" s="173"/>
      <c r="AL78" s="173">
        <f t="shared" si="214"/>
        <v>-1.3474406404075401</v>
      </c>
      <c r="AM78" s="179">
        <f t="shared" si="215"/>
        <v>432.83957758573609</v>
      </c>
      <c r="AN78" s="179">
        <f t="shared" si="216"/>
        <v>369.93814425995731</v>
      </c>
      <c r="AO78" s="179">
        <f t="shared" si="217"/>
        <v>7.3032612667937373</v>
      </c>
      <c r="AP78" s="179">
        <f t="shared" si="218"/>
        <v>0.29535586005302528</v>
      </c>
      <c r="AQ78" s="179">
        <f t="shared" si="219"/>
        <v>204.49131547022466</v>
      </c>
      <c r="AR78" s="179">
        <f t="shared" si="220"/>
        <v>78.269302914051678</v>
      </c>
      <c r="AS78" s="179">
        <f t="shared" si="221"/>
        <v>651.21585881869623</v>
      </c>
      <c r="AT78" s="179"/>
      <c r="AU78" s="179"/>
      <c r="AV78" s="179">
        <f t="shared" si="222"/>
        <v>-1.4829038255374249</v>
      </c>
      <c r="AW78" s="184">
        <f t="shared" si="223"/>
        <v>428.09836610619016</v>
      </c>
      <c r="AX78" s="184">
        <f t="shared" si="224"/>
        <v>356.02386722780926</v>
      </c>
      <c r="AY78" s="184">
        <f t="shared" si="225"/>
        <v>7.6666053354677102</v>
      </c>
      <c r="AZ78" s="184">
        <f t="shared" si="226"/>
        <v>0.30996105521527684</v>
      </c>
      <c r="BA78" s="184">
        <f t="shared" si="227"/>
        <v>214.66494939309584</v>
      </c>
      <c r="BB78" s="184">
        <f t="shared" si="228"/>
        <v>82.139679632048356</v>
      </c>
      <c r="BC78" s="184">
        <f t="shared" si="229"/>
        <v>646.78601748489893</v>
      </c>
      <c r="BD78" s="184"/>
      <c r="BE78" s="184"/>
      <c r="BF78" s="184">
        <f t="shared" si="230"/>
        <v>-1.6280429524623004</v>
      </c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190">
        <f t="shared" si="231"/>
        <v>480</v>
      </c>
      <c r="BR78" s="190">
        <f t="shared" si="232"/>
        <v>548.44618105671202</v>
      </c>
      <c r="BS78" s="190">
        <f t="shared" si="233"/>
        <v>7.6354527409743955</v>
      </c>
      <c r="BT78" s="190">
        <f t="shared" si="234"/>
        <v>0.28895407683662766</v>
      </c>
      <c r="BU78" s="190">
        <f t="shared" si="235"/>
        <v>213.79267674728314</v>
      </c>
      <c r="BV78" s="190">
        <f t="shared" si="236"/>
        <v>76.572830361706309</v>
      </c>
      <c r="BW78" s="190">
        <f t="shared" si="237"/>
        <v>837.28822112784724</v>
      </c>
      <c r="BX78" s="190"/>
      <c r="BY78" s="190"/>
      <c r="BZ78" s="190">
        <f t="shared" si="238"/>
        <v>-1.523467037854267</v>
      </c>
      <c r="CA78" s="2">
        <f t="shared" si="239"/>
        <v>426.67865367510063</v>
      </c>
      <c r="CD78" s="2"/>
      <c r="CE78" s="2"/>
      <c r="CF78" s="2"/>
      <c r="CG78" s="2"/>
      <c r="CH78" s="2"/>
      <c r="CI78" s="2"/>
      <c r="CL78" s="2"/>
      <c r="CM78" s="2"/>
      <c r="CN78" s="2"/>
      <c r="CO78" s="2"/>
      <c r="CP78" s="2"/>
      <c r="CQ78" s="2"/>
      <c r="CS78" s="2"/>
      <c r="CT78" s="2"/>
      <c r="CU78" s="2"/>
      <c r="CV78" s="2"/>
      <c r="CW78" s="2"/>
      <c r="CX78" s="2"/>
      <c r="CZ78" s="2"/>
      <c r="DA78" s="2"/>
      <c r="DB78" s="2"/>
      <c r="DC78" s="2"/>
      <c r="DD78" s="2"/>
      <c r="DE78" s="2"/>
      <c r="DG78" s="1"/>
      <c r="DH78" s="1"/>
      <c r="DI78" s="1"/>
      <c r="DJ78" s="1"/>
      <c r="DK78" s="1"/>
      <c r="DL78" s="1"/>
      <c r="DO78" s="97"/>
      <c r="DP78" s="97"/>
      <c r="DQ78" s="97"/>
      <c r="DR78" s="97"/>
      <c r="DS78" s="97"/>
      <c r="DT78" s="97"/>
    </row>
    <row r="79" spans="2:124" x14ac:dyDescent="0.35">
      <c r="B79" s="2"/>
      <c r="C79" s="2"/>
      <c r="D79" s="2"/>
      <c r="E79" s="2"/>
      <c r="F79" s="2"/>
      <c r="G79" s="2"/>
      <c r="I79" s="158">
        <f t="shared" si="179"/>
        <v>2034</v>
      </c>
      <c r="J79" s="79">
        <f t="shared" si="193"/>
        <v>410.59323965871431</v>
      </c>
      <c r="K79" s="79">
        <f t="shared" si="194"/>
        <v>6.997213782273267</v>
      </c>
      <c r="L79" s="79">
        <f t="shared" si="195"/>
        <v>0.28333782852094341</v>
      </c>
      <c r="M79" s="79">
        <f t="shared" si="196"/>
        <v>195.92198590365138</v>
      </c>
      <c r="N79" s="79">
        <f t="shared" si="197"/>
        <v>75.084524558050006</v>
      </c>
      <c r="O79" s="79">
        <f t="shared" si="198"/>
        <v>679.57978769495298</v>
      </c>
      <c r="P79" s="79"/>
      <c r="Q79" s="79"/>
      <c r="R79" s="79">
        <f t="shared" si="199"/>
        <v>-2.0199624254627588</v>
      </c>
      <c r="S79" s="162"/>
      <c r="T79" s="162">
        <f t="shared" si="200"/>
        <v>430.83826256415853</v>
      </c>
      <c r="U79" s="162">
        <f t="shared" si="201"/>
        <v>6.3976960689612064</v>
      </c>
      <c r="V79" s="162">
        <f t="shared" si="202"/>
        <v>0.2592392565032281</v>
      </c>
      <c r="W79" s="162">
        <f t="shared" si="203"/>
        <v>179.13548993091371</v>
      </c>
      <c r="X79" s="162">
        <f t="shared" si="204"/>
        <v>68.698402973355442</v>
      </c>
      <c r="Y79" s="162">
        <f t="shared" si="205"/>
        <v>677.00697757544788</v>
      </c>
      <c r="Z79" s="162"/>
      <c r="AA79" s="162"/>
      <c r="AB79" s="162">
        <f t="shared" si="206"/>
        <v>-1.6651778929797274</v>
      </c>
      <c r="AC79" s="173">
        <f t="shared" si="207"/>
        <v>445.03126424742572</v>
      </c>
      <c r="AD79" s="173">
        <f t="shared" si="208"/>
        <v>396.80129142971612</v>
      </c>
      <c r="AE79" s="173">
        <f t="shared" si="209"/>
        <v>7.3787250543809373</v>
      </c>
      <c r="AF79" s="178">
        <f t="shared" si="210"/>
        <v>0.29867328344130778</v>
      </c>
      <c r="AG79" s="173">
        <f t="shared" si="211"/>
        <v>206.60430152266639</v>
      </c>
      <c r="AH79" s="173">
        <f t="shared" si="212"/>
        <v>79.14842011194655</v>
      </c>
      <c r="AI79" s="173">
        <f t="shared" si="213"/>
        <v>680.3082786636495</v>
      </c>
      <c r="AJ79" s="173"/>
      <c r="AK79" s="173"/>
      <c r="AL79" s="173">
        <f t="shared" si="214"/>
        <v>-2.2457344006792335</v>
      </c>
      <c r="AM79" s="179">
        <f t="shared" si="215"/>
        <v>432.83957758573609</v>
      </c>
      <c r="AN79" s="179">
        <f t="shared" si="216"/>
        <v>382.72267532268091</v>
      </c>
      <c r="AO79" s="179">
        <f t="shared" si="217"/>
        <v>7.7602363264886156</v>
      </c>
      <c r="AP79" s="179">
        <f t="shared" si="218"/>
        <v>0.31400873836167215</v>
      </c>
      <c r="AQ79" s="179">
        <f t="shared" si="219"/>
        <v>217.28661714168126</v>
      </c>
      <c r="AR79" s="179">
        <f t="shared" si="220"/>
        <v>83.212315665843093</v>
      </c>
      <c r="AS79" s="179">
        <f t="shared" si="221"/>
        <v>680.75010175430953</v>
      </c>
      <c r="AT79" s="179"/>
      <c r="AU79" s="179"/>
      <c r="AV79" s="179">
        <f t="shared" si="222"/>
        <v>-2.4715063758957081</v>
      </c>
      <c r="AW79" s="184">
        <f t="shared" si="223"/>
        <v>428.09836610619016</v>
      </c>
      <c r="AX79" s="184">
        <f t="shared" si="224"/>
        <v>366.94904097935313</v>
      </c>
      <c r="AY79" s="184">
        <f t="shared" si="225"/>
        <v>8.1689984037468353</v>
      </c>
      <c r="AZ79" s="184">
        <f t="shared" si="226"/>
        <v>0.33043958291920517</v>
      </c>
      <c r="BA79" s="184">
        <f t="shared" si="227"/>
        <v>228.73195530491134</v>
      </c>
      <c r="BB79" s="184">
        <f t="shared" si="228"/>
        <v>87.566489473589357</v>
      </c>
      <c r="BC79" s="184">
        <f t="shared" si="229"/>
        <v>676.11964502149112</v>
      </c>
      <c r="BD79" s="184"/>
      <c r="BE79" s="184"/>
      <c r="BF79" s="184">
        <f t="shared" si="230"/>
        <v>-2.7134049207705004</v>
      </c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190">
        <f t="shared" si="231"/>
        <v>480</v>
      </c>
      <c r="BR79" s="190">
        <f t="shared" si="232"/>
        <v>587.17092397089141</v>
      </c>
      <c r="BS79" s="190">
        <f t="shared" si="233"/>
        <v>8.1478219215428336</v>
      </c>
      <c r="BT79" s="190">
        <f t="shared" si="234"/>
        <v>0.30804356457157939</v>
      </c>
      <c r="BU79" s="190">
        <f t="shared" si="235"/>
        <v>228.13901380319942</v>
      </c>
      <c r="BV79" s="190">
        <f t="shared" si="236"/>
        <v>81.631544611468513</v>
      </c>
      <c r="BW79" s="190">
        <f t="shared" si="237"/>
        <v>894.4023706558022</v>
      </c>
      <c r="BX79" s="190"/>
      <c r="BY79" s="190"/>
      <c r="BZ79" s="190">
        <f t="shared" si="238"/>
        <v>-2.5391117297571117</v>
      </c>
      <c r="CA79" s="2">
        <f t="shared" si="239"/>
        <v>426.67865367510063</v>
      </c>
      <c r="CD79" s="2"/>
      <c r="CE79" s="2"/>
      <c r="CF79" s="2"/>
      <c r="CG79" s="2"/>
      <c r="CH79" s="2"/>
      <c r="CI79" s="2"/>
      <c r="CL79" s="2"/>
      <c r="CM79" s="2"/>
      <c r="CN79" s="2"/>
      <c r="CO79" s="2"/>
      <c r="CP79" s="2"/>
      <c r="CQ79" s="2"/>
      <c r="CS79" s="2"/>
      <c r="CT79" s="2"/>
      <c r="CU79" s="2"/>
      <c r="CV79" s="2"/>
      <c r="CW79" s="2"/>
      <c r="CX79" s="2"/>
      <c r="CZ79" s="2"/>
      <c r="DA79" s="2"/>
      <c r="DB79" s="2"/>
      <c r="DC79" s="2"/>
      <c r="DD79" s="2"/>
      <c r="DE79" s="2"/>
      <c r="DG79" s="1"/>
      <c r="DH79" s="1"/>
      <c r="DI79" s="1"/>
      <c r="DJ79" s="1"/>
      <c r="DK79" s="1"/>
      <c r="DL79" s="1"/>
      <c r="DO79" s="97"/>
      <c r="DP79" s="97"/>
      <c r="DQ79" s="97"/>
      <c r="DR79" s="97"/>
      <c r="DS79" s="97"/>
      <c r="DT79" s="97"/>
    </row>
    <row r="80" spans="2:124" x14ac:dyDescent="0.35">
      <c r="B80" s="2"/>
      <c r="C80" s="2"/>
      <c r="D80" s="2"/>
      <c r="E80" s="2"/>
      <c r="F80" s="2"/>
      <c r="G80" s="2"/>
      <c r="I80" s="158">
        <f t="shared" si="179"/>
        <v>2035</v>
      </c>
      <c r="J80" s="79">
        <f t="shared" si="193"/>
        <v>424.98649808543342</v>
      </c>
      <c r="K80" s="79">
        <f t="shared" si="194"/>
        <v>7.3694085592775513</v>
      </c>
      <c r="L80" s="79">
        <f t="shared" si="195"/>
        <v>0.29858282795839819</v>
      </c>
      <c r="M80" s="79">
        <f t="shared" si="196"/>
        <v>206.34343965977132</v>
      </c>
      <c r="N80" s="79">
        <f t="shared" si="197"/>
        <v>79.124449408975522</v>
      </c>
      <c r="O80" s="79">
        <f t="shared" si="198"/>
        <v>707.42444351598624</v>
      </c>
      <c r="P80" s="79"/>
      <c r="Q80" s="79"/>
      <c r="R80" s="79">
        <f t="shared" si="199"/>
        <v>-3.0299436381941383</v>
      </c>
      <c r="S80" s="162"/>
      <c r="T80" s="162">
        <f t="shared" si="200"/>
        <v>447.03752392094418</v>
      </c>
      <c r="U80" s="162">
        <f t="shared" si="201"/>
        <v>6.7032777667085952</v>
      </c>
      <c r="V80" s="162">
        <f t="shared" si="202"/>
        <v>0.27180663682760342</v>
      </c>
      <c r="W80" s="162">
        <f t="shared" si="203"/>
        <v>187.69177746784058</v>
      </c>
      <c r="X80" s="162">
        <f t="shared" si="204"/>
        <v>72.028758759314897</v>
      </c>
      <c r="Y80" s="162">
        <f t="shared" si="205"/>
        <v>704.26029330863003</v>
      </c>
      <c r="Z80" s="162"/>
      <c r="AA80" s="162"/>
      <c r="AB80" s="162">
        <f t="shared" si="206"/>
        <v>-2.4977668394695911</v>
      </c>
      <c r="AC80" s="173">
        <f t="shared" si="207"/>
        <v>445.03126424742572</v>
      </c>
      <c r="AD80" s="173">
        <f t="shared" si="208"/>
        <v>409.99103460573673</v>
      </c>
      <c r="AE80" s="173">
        <f t="shared" si="209"/>
        <v>7.7933099727305182</v>
      </c>
      <c r="AF80" s="178">
        <f t="shared" si="210"/>
        <v>0.3156222223143586</v>
      </c>
      <c r="AG80" s="173">
        <f t="shared" si="211"/>
        <v>218.21267923645468</v>
      </c>
      <c r="AH80" s="173">
        <f t="shared" si="212"/>
        <v>83.639888913305015</v>
      </c>
      <c r="AI80" s="173">
        <f t="shared" si="213"/>
        <v>708.47500115447724</v>
      </c>
      <c r="AJ80" s="173"/>
      <c r="AK80" s="173"/>
      <c r="AL80" s="173">
        <f t="shared" si="214"/>
        <v>-3.3686016010188502</v>
      </c>
      <c r="AM80" s="179">
        <f t="shared" si="215"/>
        <v>432.83957758573609</v>
      </c>
      <c r="AN80" s="179">
        <f t="shared" si="216"/>
        <v>394.70817319398429</v>
      </c>
      <c r="AO80" s="179">
        <f t="shared" si="217"/>
        <v>8.2172113861834948</v>
      </c>
      <c r="AP80" s="179">
        <f t="shared" si="218"/>
        <v>0.33266161667031902</v>
      </c>
      <c r="AQ80" s="179">
        <f t="shared" si="219"/>
        <v>230.08191881313786</v>
      </c>
      <c r="AR80" s="179">
        <f t="shared" si="220"/>
        <v>88.155328417634507</v>
      </c>
      <c r="AS80" s="179">
        <f t="shared" si="221"/>
        <v>709.23816086091313</v>
      </c>
      <c r="AT80" s="179"/>
      <c r="AU80" s="179"/>
      <c r="AV80" s="179">
        <f t="shared" si="222"/>
        <v>-3.7072595638435626</v>
      </c>
      <c r="AW80" s="184">
        <f t="shared" si="223"/>
        <v>428.09836610619016</v>
      </c>
      <c r="AX80" s="184">
        <f t="shared" si="224"/>
        <v>377.19139137142548</v>
      </c>
      <c r="AY80" s="184">
        <f t="shared" si="225"/>
        <v>8.6713914720259613</v>
      </c>
      <c r="AZ80" s="184">
        <f t="shared" si="226"/>
        <v>0.35091811062313349</v>
      </c>
      <c r="BA80" s="184">
        <f t="shared" si="227"/>
        <v>242.79896121672684</v>
      </c>
      <c r="BB80" s="184">
        <f t="shared" si="228"/>
        <v>92.993299315130358</v>
      </c>
      <c r="BC80" s="184">
        <f t="shared" si="229"/>
        <v>704.4991087065348</v>
      </c>
      <c r="BD80" s="184"/>
      <c r="BE80" s="184"/>
      <c r="BF80" s="184">
        <f t="shared" si="230"/>
        <v>-4.0701073811557507</v>
      </c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190">
        <f t="shared" si="231"/>
        <v>480</v>
      </c>
      <c r="BR80" s="190">
        <f t="shared" si="232"/>
        <v>626.28299103310508</v>
      </c>
      <c r="BS80" s="190">
        <f t="shared" si="233"/>
        <v>8.6617089693855966</v>
      </c>
      <c r="BT80" s="190">
        <f t="shared" si="234"/>
        <v>0.32718206370266073</v>
      </c>
      <c r="BU80" s="190">
        <f t="shared" si="235"/>
        <v>242.52785114279681</v>
      </c>
      <c r="BV80" s="190">
        <f t="shared" si="236"/>
        <v>86.703246881205075</v>
      </c>
      <c r="BW80" s="190">
        <f t="shared" si="237"/>
        <v>951.70542146247135</v>
      </c>
      <c r="BX80" s="190"/>
      <c r="BY80" s="190"/>
      <c r="BZ80" s="190">
        <f t="shared" si="238"/>
        <v>-3.8086675946356676</v>
      </c>
      <c r="CA80" s="2">
        <f t="shared" si="239"/>
        <v>426.67865367510063</v>
      </c>
      <c r="CD80" s="2"/>
      <c r="CE80" s="2"/>
      <c r="CF80" s="2"/>
      <c r="CG80" s="2"/>
      <c r="CH80" s="2"/>
      <c r="CI80" s="2"/>
      <c r="CL80" s="2"/>
      <c r="CM80" s="2"/>
      <c r="CN80" s="2"/>
      <c r="CO80" s="2"/>
      <c r="CP80" s="2"/>
      <c r="CQ80" s="2"/>
      <c r="CS80" s="2"/>
      <c r="CT80" s="2"/>
      <c r="CU80" s="2"/>
      <c r="CV80" s="2"/>
      <c r="CW80" s="2"/>
      <c r="CX80" s="2"/>
      <c r="CZ80" s="2"/>
      <c r="DA80" s="2"/>
      <c r="DB80" s="2"/>
      <c r="DC80" s="2"/>
      <c r="DD80" s="2"/>
      <c r="DE80" s="2"/>
      <c r="DG80" s="1"/>
      <c r="DH80" s="1"/>
      <c r="DI80" s="1"/>
      <c r="DJ80" s="1"/>
      <c r="DK80" s="1"/>
      <c r="DL80" s="1"/>
      <c r="DO80" s="97"/>
      <c r="DP80" s="97"/>
      <c r="DQ80" s="97"/>
      <c r="DR80" s="97"/>
      <c r="DS80" s="97"/>
      <c r="DT80" s="97"/>
    </row>
    <row r="81" spans="2:124" x14ac:dyDescent="0.35">
      <c r="B81" s="2"/>
      <c r="C81" s="2"/>
      <c r="D81" s="2"/>
      <c r="E81" s="2"/>
      <c r="F81" s="2"/>
      <c r="G81" s="2"/>
      <c r="I81" s="158">
        <f t="shared" si="179"/>
        <v>2036</v>
      </c>
      <c r="J81" s="79">
        <f t="shared" si="193"/>
        <v>438.42020595037127</v>
      </c>
      <c r="K81" s="79">
        <f t="shared" si="194"/>
        <v>7.7416033362818357</v>
      </c>
      <c r="L81" s="79">
        <f t="shared" si="195"/>
        <v>0.31382782739585297</v>
      </c>
      <c r="M81" s="79">
        <f t="shared" si="196"/>
        <v>216.76489341589127</v>
      </c>
      <c r="N81" s="79">
        <f t="shared" si="197"/>
        <v>83.164374259901038</v>
      </c>
      <c r="O81" s="79">
        <f t="shared" si="198"/>
        <v>734.1075525326919</v>
      </c>
      <c r="P81" s="79"/>
      <c r="Q81" s="79"/>
      <c r="R81" s="79">
        <f t="shared" si="199"/>
        <v>-4.2419210934717935</v>
      </c>
      <c r="S81" s="162"/>
      <c r="T81" s="162">
        <f t="shared" si="200"/>
        <v>462.1568345206108</v>
      </c>
      <c r="U81" s="162">
        <f t="shared" si="201"/>
        <v>7.0088594644559841</v>
      </c>
      <c r="V81" s="162">
        <f t="shared" si="202"/>
        <v>0.28437401715197874</v>
      </c>
      <c r="W81" s="162">
        <f t="shared" si="203"/>
        <v>196.24806500476745</v>
      </c>
      <c r="X81" s="162">
        <f t="shared" si="204"/>
        <v>75.359114545274352</v>
      </c>
      <c r="Y81" s="162">
        <f t="shared" si="205"/>
        <v>730.2671404953951</v>
      </c>
      <c r="Z81" s="162"/>
      <c r="AA81" s="162"/>
      <c r="AB81" s="162">
        <f t="shared" si="206"/>
        <v>-3.4968735752574274</v>
      </c>
      <c r="AC81" s="173">
        <f t="shared" si="207"/>
        <v>445.03126424742572</v>
      </c>
      <c r="AD81" s="173">
        <f t="shared" si="208"/>
        <v>422.3014615700227</v>
      </c>
      <c r="AE81" s="173">
        <f t="shared" si="209"/>
        <v>8.2078948910801</v>
      </c>
      <c r="AF81" s="178">
        <f t="shared" si="210"/>
        <v>0.33257116118740943</v>
      </c>
      <c r="AG81" s="173">
        <f t="shared" si="211"/>
        <v>229.82105695024296</v>
      </c>
      <c r="AH81" s="173">
        <f t="shared" si="212"/>
        <v>88.13135771466348</v>
      </c>
      <c r="AI81" s="173">
        <f t="shared" si="213"/>
        <v>735.53783399350243</v>
      </c>
      <c r="AJ81" s="173"/>
      <c r="AK81" s="173"/>
      <c r="AL81" s="173">
        <f t="shared" si="214"/>
        <v>-4.7160422414263898</v>
      </c>
      <c r="AM81" s="179">
        <f t="shared" si="215"/>
        <v>432.83957758573609</v>
      </c>
      <c r="AN81" s="179">
        <f t="shared" si="216"/>
        <v>405.89463787386745</v>
      </c>
      <c r="AO81" s="179">
        <f t="shared" si="217"/>
        <v>8.6741864458783731</v>
      </c>
      <c r="AP81" s="179">
        <f t="shared" si="218"/>
        <v>0.35131449497896589</v>
      </c>
      <c r="AQ81" s="179">
        <f t="shared" si="219"/>
        <v>242.87722048459446</v>
      </c>
      <c r="AR81" s="179">
        <f t="shared" si="220"/>
        <v>93.098341169425922</v>
      </c>
      <c r="AS81" s="179">
        <f t="shared" si="221"/>
        <v>736.68003613850692</v>
      </c>
      <c r="AT81" s="179"/>
      <c r="AU81" s="179"/>
      <c r="AV81" s="179">
        <f t="shared" si="222"/>
        <v>-5.190163389380988</v>
      </c>
      <c r="AW81" s="184">
        <f t="shared" si="223"/>
        <v>428.09836610619016</v>
      </c>
      <c r="AX81" s="184">
        <f t="shared" si="224"/>
        <v>386.75091840402638</v>
      </c>
      <c r="AY81" s="184">
        <f t="shared" si="225"/>
        <v>9.1737845403050873</v>
      </c>
      <c r="AZ81" s="184">
        <f t="shared" si="226"/>
        <v>0.37139663832706182</v>
      </c>
      <c r="BA81" s="184">
        <f t="shared" si="227"/>
        <v>256.86596712854237</v>
      </c>
      <c r="BB81" s="184">
        <f t="shared" si="228"/>
        <v>98.420109156671359</v>
      </c>
      <c r="BC81" s="184">
        <f t="shared" si="229"/>
        <v>731.92440854002984</v>
      </c>
      <c r="BD81" s="184"/>
      <c r="BE81" s="184"/>
      <c r="BF81" s="184">
        <f t="shared" si="230"/>
        <v>-5.6981503336180515</v>
      </c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190">
        <f t="shared" si="231"/>
        <v>480</v>
      </c>
      <c r="BR81" s="190">
        <f t="shared" si="232"/>
        <v>665.78580734729394</v>
      </c>
      <c r="BS81" s="190">
        <f t="shared" si="233"/>
        <v>9.1765494182140017</v>
      </c>
      <c r="BT81" s="190">
        <f t="shared" si="234"/>
        <v>0.34630636108301732</v>
      </c>
      <c r="BU81" s="190">
        <f t="shared" si="235"/>
        <v>256.94338370999213</v>
      </c>
      <c r="BV81" s="190">
        <f t="shared" si="236"/>
        <v>91.771185686999573</v>
      </c>
      <c r="BW81" s="190">
        <f t="shared" si="237"/>
        <v>1009.1682421117957</v>
      </c>
      <c r="BX81" s="190"/>
      <c r="BY81" s="190"/>
      <c r="BZ81" s="190">
        <f t="shared" si="238"/>
        <v>-5.3321346324899341</v>
      </c>
      <c r="CA81" s="2">
        <f t="shared" si="239"/>
        <v>426.67865367510063</v>
      </c>
      <c r="CD81" s="2"/>
      <c r="CE81" s="2"/>
      <c r="CF81" s="2"/>
      <c r="CG81" s="2"/>
      <c r="CH81" s="2"/>
      <c r="CI81" s="2"/>
      <c r="CL81" s="2"/>
      <c r="CM81" s="2"/>
      <c r="CN81" s="2"/>
      <c r="CO81" s="2"/>
      <c r="CP81" s="2"/>
      <c r="CQ81" s="2"/>
      <c r="CS81" s="2"/>
      <c r="CT81" s="2"/>
      <c r="CU81" s="2"/>
      <c r="CV81" s="2"/>
      <c r="CW81" s="2"/>
      <c r="CX81" s="2"/>
      <c r="CZ81" s="2"/>
      <c r="DA81" s="2"/>
      <c r="DB81" s="2"/>
      <c r="DC81" s="2"/>
      <c r="DD81" s="2"/>
      <c r="DE81" s="2"/>
      <c r="DG81" s="1"/>
      <c r="DH81" s="1"/>
      <c r="DI81" s="1"/>
      <c r="DJ81" s="1"/>
      <c r="DK81" s="1"/>
      <c r="DL81" s="1"/>
      <c r="DO81" s="97"/>
      <c r="DP81" s="97"/>
      <c r="DQ81" s="97"/>
      <c r="DR81" s="97"/>
      <c r="DS81" s="97"/>
      <c r="DT81" s="97"/>
    </row>
    <row r="82" spans="2:124" x14ac:dyDescent="0.35">
      <c r="B82" s="2"/>
      <c r="C82" s="2"/>
      <c r="D82" s="2"/>
      <c r="E82" s="2"/>
      <c r="F82" s="2"/>
      <c r="G82" s="2"/>
      <c r="I82" s="158">
        <f t="shared" si="179"/>
        <v>2037</v>
      </c>
      <c r="J82" s="79">
        <f t="shared" si="193"/>
        <v>450.89436325352784</v>
      </c>
      <c r="K82" s="79">
        <f t="shared" si="194"/>
        <v>8.1137981132861192</v>
      </c>
      <c r="L82" s="79">
        <f t="shared" si="195"/>
        <v>0.32907282683330774</v>
      </c>
      <c r="M82" s="79">
        <f t="shared" si="196"/>
        <v>227.18634717201121</v>
      </c>
      <c r="N82" s="79">
        <f t="shared" si="197"/>
        <v>87.204299110826554</v>
      </c>
      <c r="O82" s="79">
        <f t="shared" si="198"/>
        <v>759.62911474507007</v>
      </c>
      <c r="P82" s="79"/>
      <c r="Q82" s="79"/>
      <c r="R82" s="79">
        <f t="shared" si="199"/>
        <v>-5.655894791295724</v>
      </c>
      <c r="S82" s="162"/>
      <c r="T82" s="162">
        <f t="shared" si="200"/>
        <v>476.19619436315838</v>
      </c>
      <c r="U82" s="162">
        <f t="shared" si="201"/>
        <v>7.3144411622033729</v>
      </c>
      <c r="V82" s="162">
        <f t="shared" si="202"/>
        <v>0.29694139747635406</v>
      </c>
      <c r="W82" s="162">
        <f t="shared" si="203"/>
        <v>204.80435254169433</v>
      </c>
      <c r="X82" s="162">
        <f t="shared" si="204"/>
        <v>78.689470331233807</v>
      </c>
      <c r="Y82" s="162">
        <f t="shared" si="205"/>
        <v>755.0275191357432</v>
      </c>
      <c r="Z82" s="162"/>
      <c r="AA82" s="162"/>
      <c r="AB82" s="162">
        <f t="shared" si="206"/>
        <v>-4.6624981003432371</v>
      </c>
      <c r="AC82" s="173">
        <f t="shared" si="207"/>
        <v>445.03126424742572</v>
      </c>
      <c r="AD82" s="173">
        <f t="shared" si="208"/>
        <v>433.7325723225739</v>
      </c>
      <c r="AE82" s="173">
        <f t="shared" si="209"/>
        <v>8.6224798094296808</v>
      </c>
      <c r="AF82" s="178">
        <f t="shared" si="210"/>
        <v>0.34952010006046025</v>
      </c>
      <c r="AG82" s="173">
        <f t="shared" si="211"/>
        <v>241.42943466403125</v>
      </c>
      <c r="AH82" s="173">
        <f t="shared" si="212"/>
        <v>92.622826516021945</v>
      </c>
      <c r="AI82" s="173">
        <f t="shared" si="213"/>
        <v>761.49677718072496</v>
      </c>
      <c r="AJ82" s="173"/>
      <c r="AK82" s="173"/>
      <c r="AL82" s="173">
        <f t="shared" si="214"/>
        <v>-6.2880563219018537</v>
      </c>
      <c r="AM82" s="179">
        <f t="shared" si="215"/>
        <v>432.83957758573609</v>
      </c>
      <c r="AN82" s="179">
        <f t="shared" si="216"/>
        <v>416.28206936233039</v>
      </c>
      <c r="AO82" s="179">
        <f t="shared" si="217"/>
        <v>9.1311615055732513</v>
      </c>
      <c r="AP82" s="179">
        <f t="shared" si="218"/>
        <v>0.36996737328761276</v>
      </c>
      <c r="AQ82" s="179">
        <f t="shared" si="219"/>
        <v>255.67252215605106</v>
      </c>
      <c r="AR82" s="179">
        <f t="shared" si="220"/>
        <v>98.041353921217336</v>
      </c>
      <c r="AS82" s="179">
        <f t="shared" si="221"/>
        <v>763.07572758709091</v>
      </c>
      <c r="AT82" s="179"/>
      <c r="AU82" s="179"/>
      <c r="AV82" s="179">
        <f t="shared" si="222"/>
        <v>-6.9202178525079843</v>
      </c>
      <c r="AW82" s="184">
        <f t="shared" si="223"/>
        <v>428.09836610619016</v>
      </c>
      <c r="AX82" s="184">
        <f t="shared" si="224"/>
        <v>395.62762207715576</v>
      </c>
      <c r="AY82" s="184">
        <f t="shared" si="225"/>
        <v>9.6761776085842133</v>
      </c>
      <c r="AZ82" s="184">
        <f t="shared" si="226"/>
        <v>0.39187516603099015</v>
      </c>
      <c r="BA82" s="184">
        <f t="shared" si="227"/>
        <v>270.93297304035787</v>
      </c>
      <c r="BB82" s="184">
        <f t="shared" si="228"/>
        <v>103.84691899821236</v>
      </c>
      <c r="BC82" s="184">
        <f t="shared" si="229"/>
        <v>758.39554452197638</v>
      </c>
      <c r="BD82" s="184"/>
      <c r="BE82" s="184"/>
      <c r="BF82" s="184">
        <f t="shared" si="230"/>
        <v>-7.5975337781574019</v>
      </c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190">
        <f t="shared" si="231"/>
        <v>480</v>
      </c>
      <c r="BR82" s="190">
        <f t="shared" si="232"/>
        <v>705.73600791810031</v>
      </c>
      <c r="BS82" s="190">
        <f t="shared" si="233"/>
        <v>9.6925311666907437</v>
      </c>
      <c r="BT82" s="190">
        <f t="shared" si="234"/>
        <v>0.36544819093199743</v>
      </c>
      <c r="BU82" s="190">
        <f t="shared" si="235"/>
        <v>271.39087266734089</v>
      </c>
      <c r="BV82" s="190">
        <f t="shared" si="236"/>
        <v>96.843770596979311</v>
      </c>
      <c r="BW82" s="190">
        <f t="shared" si="237"/>
        <v>1066.8611383391008</v>
      </c>
      <c r="BX82" s="190"/>
      <c r="BY82" s="190"/>
      <c r="BZ82" s="190">
        <f t="shared" si="238"/>
        <v>-7.1095128433199122</v>
      </c>
      <c r="CA82" s="2">
        <f t="shared" si="239"/>
        <v>426.67865367510063</v>
      </c>
      <c r="CD82" s="2"/>
      <c r="CE82" s="2"/>
      <c r="CF82" s="2"/>
      <c r="CG82" s="2"/>
      <c r="CH82" s="2"/>
      <c r="CI82" s="2"/>
      <c r="CL82" s="2"/>
      <c r="CM82" s="2"/>
      <c r="CN82" s="2"/>
      <c r="CO82" s="2"/>
      <c r="CP82" s="2"/>
      <c r="CQ82" s="2"/>
      <c r="CS82" s="2"/>
      <c r="CT82" s="2"/>
      <c r="CU82" s="2"/>
      <c r="CV82" s="2"/>
      <c r="CW82" s="2"/>
      <c r="CX82" s="2"/>
      <c r="CZ82" s="2"/>
      <c r="DA82" s="2"/>
      <c r="DB82" s="2"/>
      <c r="DC82" s="2"/>
      <c r="DD82" s="2"/>
      <c r="DE82" s="2"/>
      <c r="DG82" s="1"/>
      <c r="DH82" s="1"/>
      <c r="DI82" s="1"/>
      <c r="DJ82" s="1"/>
      <c r="DK82" s="1"/>
      <c r="DL82" s="1"/>
      <c r="DO82" s="97"/>
      <c r="DP82" s="97"/>
      <c r="DQ82" s="97"/>
      <c r="DR82" s="97"/>
      <c r="DS82" s="97"/>
      <c r="DT82" s="97"/>
    </row>
    <row r="83" spans="2:124" x14ac:dyDescent="0.35">
      <c r="B83" s="2"/>
      <c r="C83" s="2"/>
      <c r="D83" s="2"/>
      <c r="E83" s="2"/>
      <c r="F83" s="2"/>
      <c r="G83" s="2"/>
      <c r="I83" s="158">
        <f t="shared" si="179"/>
        <v>2038</v>
      </c>
      <c r="J83" s="79">
        <f t="shared" si="193"/>
        <v>462.40896999490315</v>
      </c>
      <c r="K83" s="79">
        <f t="shared" si="194"/>
        <v>8.4859928902904027</v>
      </c>
      <c r="L83" s="79">
        <f t="shared" si="195"/>
        <v>0.34431782627076252</v>
      </c>
      <c r="M83" s="79">
        <f t="shared" si="196"/>
        <v>237.60780092813116</v>
      </c>
      <c r="N83" s="79">
        <f t="shared" si="197"/>
        <v>91.24422396175207</v>
      </c>
      <c r="O83" s="79">
        <f t="shared" si="198"/>
        <v>783.98913015312064</v>
      </c>
      <c r="P83" s="79"/>
      <c r="Q83" s="79"/>
      <c r="R83" s="79">
        <f t="shared" si="199"/>
        <v>-7.2718647316659304</v>
      </c>
      <c r="S83" s="162"/>
      <c r="T83" s="162">
        <f t="shared" si="200"/>
        <v>489.15560344858687</v>
      </c>
      <c r="U83" s="162">
        <f t="shared" si="201"/>
        <v>7.6200228599507618</v>
      </c>
      <c r="V83" s="162">
        <f t="shared" si="202"/>
        <v>0.30950877780072938</v>
      </c>
      <c r="W83" s="162">
        <f t="shared" si="203"/>
        <v>213.3606400786212</v>
      </c>
      <c r="X83" s="162">
        <f t="shared" si="204"/>
        <v>82.019826117193261</v>
      </c>
      <c r="Y83" s="162">
        <f t="shared" si="205"/>
        <v>778.54142922967424</v>
      </c>
      <c r="Z83" s="162"/>
      <c r="AA83" s="162"/>
      <c r="AB83" s="162">
        <f t="shared" si="206"/>
        <v>-5.9946404147270194</v>
      </c>
      <c r="AC83" s="173">
        <f t="shared" si="207"/>
        <v>445.03126424742572</v>
      </c>
      <c r="AD83" s="173">
        <f t="shared" si="208"/>
        <v>444.2843668633904</v>
      </c>
      <c r="AE83" s="173">
        <f t="shared" si="209"/>
        <v>9.0370647277792617</v>
      </c>
      <c r="AF83" s="178">
        <f t="shared" si="210"/>
        <v>0.36646903893351107</v>
      </c>
      <c r="AG83" s="173">
        <f t="shared" si="211"/>
        <v>253.03781237781953</v>
      </c>
      <c r="AH83" s="173">
        <f t="shared" si="212"/>
        <v>97.11429531738041</v>
      </c>
      <c r="AI83" s="173">
        <f t="shared" si="213"/>
        <v>786.35183071614483</v>
      </c>
      <c r="AJ83" s="173"/>
      <c r="AK83" s="173"/>
      <c r="AL83" s="173">
        <f t="shared" si="214"/>
        <v>-8.0846438424452405</v>
      </c>
      <c r="AM83" s="179">
        <f t="shared" si="215"/>
        <v>432.83957758573609</v>
      </c>
      <c r="AN83" s="179">
        <f t="shared" si="216"/>
        <v>425.87046765937311</v>
      </c>
      <c r="AO83" s="179">
        <f t="shared" si="217"/>
        <v>9.5881365652681296</v>
      </c>
      <c r="AP83" s="179">
        <f t="shared" si="218"/>
        <v>0.38862025159625962</v>
      </c>
      <c r="AQ83" s="179">
        <f t="shared" si="219"/>
        <v>268.46782382750769</v>
      </c>
      <c r="AR83" s="179">
        <f t="shared" si="220"/>
        <v>102.98436667300875</v>
      </c>
      <c r="AS83" s="179">
        <f t="shared" si="221"/>
        <v>788.42523520666509</v>
      </c>
      <c r="AT83" s="179"/>
      <c r="AU83" s="179"/>
      <c r="AV83" s="179">
        <f t="shared" si="222"/>
        <v>-8.8974229532245506</v>
      </c>
      <c r="AW83" s="184">
        <f t="shared" si="223"/>
        <v>428.09836610619016</v>
      </c>
      <c r="AX83" s="184">
        <f t="shared" si="224"/>
        <v>403.82150239081363</v>
      </c>
      <c r="AY83" s="184">
        <f t="shared" si="225"/>
        <v>10.178570676863339</v>
      </c>
      <c r="AZ83" s="184">
        <f t="shared" si="226"/>
        <v>0.41235369373491848</v>
      </c>
      <c r="BA83" s="184">
        <f t="shared" si="227"/>
        <v>284.99997895217336</v>
      </c>
      <c r="BB83" s="184">
        <f t="shared" si="228"/>
        <v>109.27372883975336</v>
      </c>
      <c r="BC83" s="184">
        <f t="shared" si="229"/>
        <v>783.91251665237439</v>
      </c>
      <c r="BD83" s="184"/>
      <c r="BE83" s="184"/>
      <c r="BF83" s="184">
        <f t="shared" si="230"/>
        <v>-9.768257714773803</v>
      </c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190">
        <f t="shared" si="231"/>
        <v>480</v>
      </c>
      <c r="BR83" s="190">
        <f t="shared" si="232"/>
        <v>745.66101804995935</v>
      </c>
      <c r="BS83" s="190">
        <f t="shared" si="233"/>
        <v>10.209739079694666</v>
      </c>
      <c r="BT83" s="190">
        <f t="shared" si="234"/>
        <v>0.38462238129696158</v>
      </c>
      <c r="BU83" s="190">
        <f t="shared" si="235"/>
        <v>285.87269423145074</v>
      </c>
      <c r="BV83" s="190">
        <f t="shared" si="236"/>
        <v>101.92493104369481</v>
      </c>
      <c r="BW83" s="190">
        <f t="shared" si="237"/>
        <v>1124.3178410979795</v>
      </c>
      <c r="BX83" s="190"/>
      <c r="BY83" s="190"/>
      <c r="BZ83" s="190">
        <f t="shared" si="238"/>
        <v>-9.1408022271256009</v>
      </c>
      <c r="CA83" s="2">
        <f t="shared" si="239"/>
        <v>426.67865367510063</v>
      </c>
      <c r="CD83" s="2"/>
      <c r="CE83" s="2"/>
      <c r="CF83" s="2"/>
      <c r="CG83" s="2"/>
      <c r="CH83" s="2"/>
      <c r="CI83" s="2"/>
      <c r="CL83" s="2"/>
      <c r="CM83" s="2"/>
      <c r="CN83" s="2"/>
      <c r="CO83" s="2"/>
      <c r="CP83" s="2"/>
      <c r="CQ83" s="2"/>
      <c r="CS83" s="2"/>
      <c r="CT83" s="2"/>
      <c r="CU83" s="2"/>
      <c r="CV83" s="2"/>
      <c r="CW83" s="2"/>
      <c r="CX83" s="2"/>
      <c r="CZ83" s="2"/>
      <c r="DA83" s="2"/>
      <c r="DB83" s="2"/>
      <c r="DC83" s="2"/>
      <c r="DD83" s="2"/>
      <c r="DE83" s="2"/>
      <c r="DG83" s="1"/>
      <c r="DH83" s="1"/>
      <c r="DI83" s="1"/>
      <c r="DJ83" s="1"/>
      <c r="DK83" s="1"/>
      <c r="DL83" s="1"/>
      <c r="DO83" s="97"/>
      <c r="DP83" s="97"/>
      <c r="DQ83" s="97"/>
      <c r="DR83" s="97"/>
      <c r="DS83" s="97"/>
      <c r="DT83" s="97"/>
    </row>
    <row r="84" spans="2:124" x14ac:dyDescent="0.35">
      <c r="B84" s="2"/>
      <c r="C84" s="2"/>
      <c r="D84" s="2"/>
      <c r="E84" s="2"/>
      <c r="F84" s="2"/>
      <c r="G84" s="2"/>
      <c r="I84" s="158">
        <f t="shared" si="179"/>
        <v>2039</v>
      </c>
      <c r="J84" s="79">
        <f t="shared" si="193"/>
        <v>472.96402617449718</v>
      </c>
      <c r="K84" s="79">
        <f t="shared" si="194"/>
        <v>8.8581876672946862</v>
      </c>
      <c r="L84" s="79">
        <f t="shared" si="195"/>
        <v>0.35956282570821729</v>
      </c>
      <c r="M84" s="79">
        <f t="shared" si="196"/>
        <v>248.0292546842511</v>
      </c>
      <c r="N84" s="79">
        <f t="shared" si="197"/>
        <v>95.284148812677586</v>
      </c>
      <c r="O84" s="79">
        <f t="shared" si="198"/>
        <v>807.18759875684361</v>
      </c>
      <c r="P84" s="79"/>
      <c r="Q84" s="79"/>
      <c r="R84" s="79">
        <f t="shared" si="199"/>
        <v>-9.0898309145824125</v>
      </c>
      <c r="S84" s="162"/>
      <c r="T84" s="162">
        <f t="shared" si="200"/>
        <v>501.03506177689633</v>
      </c>
      <c r="U84" s="162">
        <f t="shared" si="201"/>
        <v>7.9256045576981506</v>
      </c>
      <c r="V84" s="162">
        <f t="shared" si="202"/>
        <v>0.32207615812510471</v>
      </c>
      <c r="W84" s="162">
        <f t="shared" si="203"/>
        <v>221.91692761554808</v>
      </c>
      <c r="X84" s="162">
        <f t="shared" si="204"/>
        <v>85.350181903152716</v>
      </c>
      <c r="Y84" s="162">
        <f t="shared" si="205"/>
        <v>800.8088707771883</v>
      </c>
      <c r="Z84" s="162"/>
      <c r="AA84" s="162"/>
      <c r="AB84" s="162">
        <f t="shared" si="206"/>
        <v>-7.4933005184087742</v>
      </c>
      <c r="AC84" s="173">
        <f t="shared" si="207"/>
        <v>445.03126424742572</v>
      </c>
      <c r="AD84" s="173">
        <f t="shared" si="208"/>
        <v>453.9568451924722</v>
      </c>
      <c r="AE84" s="173">
        <f t="shared" si="209"/>
        <v>9.4516496461288426</v>
      </c>
      <c r="AF84" s="178">
        <f t="shared" si="210"/>
        <v>0.38341797780656189</v>
      </c>
      <c r="AG84" s="173">
        <f t="shared" si="211"/>
        <v>264.64619009160782</v>
      </c>
      <c r="AH84" s="173">
        <f t="shared" si="212"/>
        <v>101.60576411873888</v>
      </c>
      <c r="AI84" s="173">
        <f t="shared" si="213"/>
        <v>810.10299459976204</v>
      </c>
      <c r="AJ84" s="173"/>
      <c r="AK84" s="173"/>
      <c r="AL84" s="173">
        <f t="shared" si="214"/>
        <v>-10.10580480305655</v>
      </c>
      <c r="AM84" s="179">
        <f t="shared" si="215"/>
        <v>432.83957758573609</v>
      </c>
      <c r="AN84" s="179">
        <f t="shared" si="216"/>
        <v>434.6598327649956</v>
      </c>
      <c r="AO84" s="179">
        <f t="shared" si="217"/>
        <v>10.045111624963008</v>
      </c>
      <c r="AP84" s="179">
        <f t="shared" si="218"/>
        <v>0.40727312990490649</v>
      </c>
      <c r="AQ84" s="179">
        <f t="shared" si="219"/>
        <v>281.26312549896431</v>
      </c>
      <c r="AR84" s="179">
        <f t="shared" si="220"/>
        <v>107.92737942480016</v>
      </c>
      <c r="AS84" s="179">
        <f t="shared" si="221"/>
        <v>812.72855899722947</v>
      </c>
      <c r="AT84" s="179"/>
      <c r="AU84" s="179"/>
      <c r="AV84" s="179">
        <f t="shared" si="222"/>
        <v>-11.121778691530688</v>
      </c>
      <c r="AW84" s="184">
        <f t="shared" si="223"/>
        <v>428.09836610619016</v>
      </c>
      <c r="AX84" s="184">
        <f t="shared" si="224"/>
        <v>411.33255934500005</v>
      </c>
      <c r="AY84" s="184">
        <f t="shared" si="225"/>
        <v>10.680963745142465</v>
      </c>
      <c r="AZ84" s="184">
        <f t="shared" si="226"/>
        <v>0.43283222143884681</v>
      </c>
      <c r="BA84" s="184">
        <f t="shared" si="227"/>
        <v>299.06698486398886</v>
      </c>
      <c r="BB84" s="184">
        <f t="shared" si="228"/>
        <v>114.70053868129436</v>
      </c>
      <c r="BC84" s="184">
        <f t="shared" si="229"/>
        <v>808.47532493122389</v>
      </c>
      <c r="BD84" s="184"/>
      <c r="BE84" s="184"/>
      <c r="BF84" s="184">
        <f t="shared" si="230"/>
        <v>-12.210322143467254</v>
      </c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190">
        <f t="shared" si="231"/>
        <v>480</v>
      </c>
      <c r="BR84" s="190">
        <f t="shared" si="232"/>
        <v>785.41964877425062</v>
      </c>
      <c r="BS84" s="190">
        <f t="shared" si="233"/>
        <v>10.72805740085486</v>
      </c>
      <c r="BT84" s="190">
        <f t="shared" si="234"/>
        <v>0.40377637523277138</v>
      </c>
      <c r="BU84" s="190">
        <f t="shared" si="235"/>
        <v>300.38560722393618</v>
      </c>
      <c r="BV84" s="190">
        <f t="shared" si="236"/>
        <v>107.00073943668441</v>
      </c>
      <c r="BW84" s="190">
        <f t="shared" si="237"/>
        <v>1181.3799926509644</v>
      </c>
      <c r="BX84" s="190"/>
      <c r="BY84" s="190"/>
      <c r="BZ84" s="190">
        <f t="shared" si="238"/>
        <v>-11.426002783907002</v>
      </c>
      <c r="CA84" s="2">
        <f t="shared" si="239"/>
        <v>426.67865367510063</v>
      </c>
      <c r="CD84" s="2"/>
      <c r="CE84" s="2"/>
      <c r="CF84" s="2"/>
      <c r="CG84" s="2"/>
      <c r="CH84" s="2"/>
      <c r="CI84" s="2"/>
      <c r="CL84" s="2"/>
      <c r="CM84" s="2"/>
      <c r="CN84" s="2"/>
      <c r="CO84" s="2"/>
      <c r="CP84" s="2"/>
      <c r="CQ84" s="2"/>
      <c r="CS84" s="2"/>
      <c r="CT84" s="2"/>
      <c r="CU84" s="2"/>
      <c r="CV84" s="2"/>
      <c r="CW84" s="2"/>
      <c r="CX84" s="2"/>
      <c r="CZ84" s="2"/>
      <c r="DA84" s="2"/>
      <c r="DB84" s="2"/>
      <c r="DC84" s="2"/>
      <c r="DD84" s="2"/>
      <c r="DE84" s="2"/>
      <c r="DG84" s="1"/>
      <c r="DH84" s="1"/>
      <c r="DI84" s="1"/>
      <c r="DJ84" s="1"/>
      <c r="DK84" s="1"/>
      <c r="DL84" s="1"/>
      <c r="DO84" s="97"/>
      <c r="DP84" s="97"/>
      <c r="DQ84" s="97"/>
      <c r="DR84" s="97"/>
      <c r="DS84" s="97"/>
      <c r="DT84" s="97"/>
    </row>
    <row r="85" spans="2:124" x14ac:dyDescent="0.35">
      <c r="B85" s="2"/>
      <c r="C85" s="2"/>
      <c r="D85" s="2"/>
      <c r="E85" s="2"/>
      <c r="F85" s="2"/>
      <c r="G85" s="2"/>
      <c r="I85" s="158">
        <f t="shared" si="179"/>
        <v>2040</v>
      </c>
      <c r="J85" s="79">
        <f t="shared" si="193"/>
        <v>482.55953179230994</v>
      </c>
      <c r="K85" s="79">
        <f t="shared" si="194"/>
        <v>9.2303824442989697</v>
      </c>
      <c r="L85" s="79">
        <f t="shared" si="195"/>
        <v>0.37480782514567207</v>
      </c>
      <c r="M85" s="79">
        <f t="shared" si="196"/>
        <v>258.45070844037105</v>
      </c>
      <c r="N85" s="79">
        <f t="shared" si="197"/>
        <v>99.324073663603102</v>
      </c>
      <c r="O85" s="79">
        <f t="shared" si="198"/>
        <v>829.2245205562391</v>
      </c>
      <c r="P85" s="79"/>
      <c r="Q85" s="79"/>
      <c r="R85" s="79">
        <f t="shared" si="199"/>
        <v>-11.10979334004517</v>
      </c>
      <c r="S85" s="162"/>
      <c r="T85" s="162">
        <f t="shared" si="200"/>
        <v>511.83456934808675</v>
      </c>
      <c r="U85" s="162">
        <f t="shared" si="201"/>
        <v>8.2311862554455395</v>
      </c>
      <c r="V85" s="162">
        <f t="shared" si="202"/>
        <v>0.33464353844948003</v>
      </c>
      <c r="W85" s="162">
        <f t="shared" si="203"/>
        <v>230.47321515247495</v>
      </c>
      <c r="X85" s="162">
        <f t="shared" si="204"/>
        <v>88.680537689112171</v>
      </c>
      <c r="Y85" s="162">
        <f t="shared" si="205"/>
        <v>821.82984377828529</v>
      </c>
      <c r="Z85" s="162"/>
      <c r="AA85" s="162"/>
      <c r="AB85" s="162">
        <f t="shared" si="206"/>
        <v>-9.1584784113885025</v>
      </c>
      <c r="AC85" s="173">
        <f t="shared" si="207"/>
        <v>445.03126424742572</v>
      </c>
      <c r="AD85" s="173">
        <f t="shared" si="208"/>
        <v>462.7500073098193</v>
      </c>
      <c r="AE85" s="173">
        <f t="shared" si="209"/>
        <v>9.8662345644784235</v>
      </c>
      <c r="AF85" s="178">
        <f t="shared" si="210"/>
        <v>0.40036691667961272</v>
      </c>
      <c r="AG85" s="173">
        <f t="shared" si="211"/>
        <v>276.25456780539611</v>
      </c>
      <c r="AH85" s="173">
        <f t="shared" si="212"/>
        <v>106.09723292009734</v>
      </c>
      <c r="AI85" s="173">
        <f t="shared" si="213"/>
        <v>832.75026883157659</v>
      </c>
      <c r="AJ85" s="173"/>
      <c r="AK85" s="173"/>
      <c r="AL85" s="173">
        <f t="shared" si="214"/>
        <v>-12.351539203735783</v>
      </c>
      <c r="AM85" s="179">
        <f t="shared" si="215"/>
        <v>432.83957758573609</v>
      </c>
      <c r="AN85" s="179">
        <f t="shared" si="216"/>
        <v>442.65016467919781</v>
      </c>
      <c r="AO85" s="179">
        <f t="shared" si="217"/>
        <v>10.502086684657886</v>
      </c>
      <c r="AP85" s="179">
        <f t="shared" si="218"/>
        <v>0.42592600821355336</v>
      </c>
      <c r="AQ85" s="179">
        <f t="shared" si="219"/>
        <v>294.05842717042094</v>
      </c>
      <c r="AR85" s="179">
        <f t="shared" si="220"/>
        <v>112.87039217659158</v>
      </c>
      <c r="AS85" s="179">
        <f t="shared" si="221"/>
        <v>835.98569895878404</v>
      </c>
      <c r="AT85" s="179"/>
      <c r="AU85" s="179"/>
      <c r="AV85" s="179">
        <f t="shared" si="222"/>
        <v>-13.593285067426397</v>
      </c>
      <c r="AW85" s="184">
        <f t="shared" si="223"/>
        <v>428.09836610619016</v>
      </c>
      <c r="AX85" s="184">
        <f t="shared" si="224"/>
        <v>418.16079293971495</v>
      </c>
      <c r="AY85" s="184">
        <f t="shared" si="225"/>
        <v>11.183356813421591</v>
      </c>
      <c r="AZ85" s="184">
        <f t="shared" si="226"/>
        <v>0.45331074914277514</v>
      </c>
      <c r="BA85" s="184">
        <f t="shared" si="227"/>
        <v>313.13399077580436</v>
      </c>
      <c r="BB85" s="184">
        <f t="shared" si="228"/>
        <v>120.12734852283536</v>
      </c>
      <c r="BC85" s="184">
        <f t="shared" si="229"/>
        <v>832.08396935852477</v>
      </c>
      <c r="BD85" s="184"/>
      <c r="BE85" s="184"/>
      <c r="BF85" s="184">
        <f t="shared" si="230"/>
        <v>-14.923727064237754</v>
      </c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190">
        <f t="shared" si="231"/>
        <v>480</v>
      </c>
      <c r="BR85" s="190">
        <f t="shared" si="232"/>
        <v>825.59511089697196</v>
      </c>
      <c r="BS85" s="190">
        <f t="shared" si="233"/>
        <v>11.247618787038116</v>
      </c>
      <c r="BT85" s="190">
        <f t="shared" si="234"/>
        <v>0.42293948262716469</v>
      </c>
      <c r="BU85" s="190">
        <f t="shared" si="235"/>
        <v>314.93332603706733</v>
      </c>
      <c r="BV85" s="190">
        <f t="shared" si="236"/>
        <v>112.07896289619863</v>
      </c>
      <c r="BW85" s="190">
        <f t="shared" si="237"/>
        <v>1238.6422853165741</v>
      </c>
      <c r="BX85" s="190"/>
      <c r="BY85" s="190"/>
      <c r="BZ85" s="190">
        <f t="shared" si="238"/>
        <v>-13.965114513664114</v>
      </c>
      <c r="CA85" s="2">
        <f t="shared" si="239"/>
        <v>426.67865367510063</v>
      </c>
      <c r="CD85" s="2"/>
      <c r="CE85" s="2"/>
      <c r="CF85" s="2"/>
      <c r="CG85" s="2"/>
      <c r="CH85" s="2"/>
      <c r="CI85" s="2"/>
      <c r="CL85" s="2"/>
      <c r="CM85" s="2"/>
      <c r="CN85" s="2"/>
      <c r="CO85" s="2"/>
      <c r="CP85" s="2"/>
      <c r="CQ85" s="2"/>
      <c r="CS85" s="2"/>
      <c r="CT85" s="2"/>
      <c r="CU85" s="2"/>
      <c r="CV85" s="2"/>
      <c r="CW85" s="2"/>
      <c r="CX85" s="2"/>
      <c r="CZ85" s="2"/>
      <c r="DA85" s="2"/>
      <c r="DB85" s="2"/>
      <c r="DC85" s="2"/>
      <c r="DD85" s="2"/>
      <c r="DE85" s="2"/>
      <c r="DG85" s="1"/>
      <c r="DH85" s="1"/>
      <c r="DI85" s="1"/>
      <c r="DJ85" s="1"/>
      <c r="DK85" s="1"/>
      <c r="DL85" s="1"/>
      <c r="DO85" s="97"/>
      <c r="DP85" s="97"/>
      <c r="DQ85" s="97"/>
      <c r="DR85" s="97"/>
      <c r="DS85" s="97"/>
      <c r="DT85" s="97"/>
    </row>
    <row r="86" spans="2:124" x14ac:dyDescent="0.35">
      <c r="B86" s="2"/>
      <c r="C86" s="2"/>
      <c r="D86" s="2"/>
      <c r="E86" s="2"/>
      <c r="F86" s="2"/>
      <c r="G86" s="2"/>
      <c r="I86" s="158">
        <f t="shared" si="179"/>
        <v>2041</v>
      </c>
      <c r="J86" s="79">
        <f t="shared" si="193"/>
        <v>491.19548684834143</v>
      </c>
      <c r="K86" s="79">
        <f t="shared" si="194"/>
        <v>9.6025772213032532</v>
      </c>
      <c r="L86" s="79">
        <f t="shared" si="195"/>
        <v>0.39005282458312684</v>
      </c>
      <c r="M86" s="79">
        <f t="shared" si="196"/>
        <v>268.87216219649099</v>
      </c>
      <c r="N86" s="79">
        <f t="shared" si="197"/>
        <v>103.36399851452862</v>
      </c>
      <c r="O86" s="79">
        <f t="shared" si="198"/>
        <v>850.09989555130699</v>
      </c>
      <c r="P86" s="79"/>
      <c r="Q86" s="79"/>
      <c r="R86" s="79">
        <f t="shared" si="199"/>
        <v>-13.331752008054204</v>
      </c>
      <c r="S86" s="162"/>
      <c r="T86" s="162">
        <f t="shared" si="200"/>
        <v>521.55412616215813</v>
      </c>
      <c r="U86" s="162">
        <f t="shared" si="201"/>
        <v>8.5367679531929284</v>
      </c>
      <c r="V86" s="162">
        <f t="shared" si="202"/>
        <v>0.34721091877385535</v>
      </c>
      <c r="W86" s="162">
        <f t="shared" si="203"/>
        <v>239.02950268940182</v>
      </c>
      <c r="X86" s="162">
        <f t="shared" si="204"/>
        <v>92.010893475071626</v>
      </c>
      <c r="Y86" s="162">
        <f t="shared" si="205"/>
        <v>841.60434823296532</v>
      </c>
      <c r="Z86" s="162"/>
      <c r="AA86" s="162"/>
      <c r="AB86" s="162">
        <f t="shared" si="206"/>
        <v>-10.990174093666203</v>
      </c>
      <c r="AC86" s="173">
        <f t="shared" si="207"/>
        <v>445.03126424742572</v>
      </c>
      <c r="AD86" s="173">
        <f t="shared" si="208"/>
        <v>470.66385321543169</v>
      </c>
      <c r="AE86" s="173">
        <f t="shared" si="209"/>
        <v>10.280819482828004</v>
      </c>
      <c r="AF86" s="178">
        <f t="shared" si="210"/>
        <v>0.41731585555266354</v>
      </c>
      <c r="AG86" s="173">
        <f t="shared" si="211"/>
        <v>287.86294551918439</v>
      </c>
      <c r="AH86" s="173">
        <f t="shared" si="212"/>
        <v>110.58870172145581</v>
      </c>
      <c r="AI86" s="173">
        <f t="shared" si="213"/>
        <v>854.29365341158859</v>
      </c>
      <c r="AJ86" s="173"/>
      <c r="AK86" s="173"/>
      <c r="AL86" s="173">
        <f t="shared" si="214"/>
        <v>-14.82184704448294</v>
      </c>
      <c r="AM86" s="179">
        <f t="shared" si="215"/>
        <v>432.83957758573609</v>
      </c>
      <c r="AN86" s="179">
        <f t="shared" si="216"/>
        <v>449.84146340197987</v>
      </c>
      <c r="AO86" s="179">
        <f t="shared" si="217"/>
        <v>10.959061744352764</v>
      </c>
      <c r="AP86" s="179">
        <f t="shared" si="218"/>
        <v>0.44457888652220023</v>
      </c>
      <c r="AQ86" s="179">
        <f t="shared" si="219"/>
        <v>306.85372884187757</v>
      </c>
      <c r="AR86" s="179">
        <f t="shared" si="220"/>
        <v>117.81340492838299</v>
      </c>
      <c r="AS86" s="179">
        <f t="shared" si="221"/>
        <v>858.19665509132881</v>
      </c>
      <c r="AT86" s="179"/>
      <c r="AU86" s="179"/>
      <c r="AV86" s="179">
        <f t="shared" si="222"/>
        <v>-16.311942080911678</v>
      </c>
      <c r="AW86" s="184">
        <f t="shared" si="223"/>
        <v>428.09836610619016</v>
      </c>
      <c r="AX86" s="184">
        <f t="shared" si="224"/>
        <v>424.3062031749584</v>
      </c>
      <c r="AY86" s="184">
        <f t="shared" si="225"/>
        <v>11.685749881700717</v>
      </c>
      <c r="AZ86" s="184">
        <f t="shared" si="226"/>
        <v>0.47378927684670347</v>
      </c>
      <c r="BA86" s="184">
        <f t="shared" si="227"/>
        <v>327.20099668761986</v>
      </c>
      <c r="BB86" s="184">
        <f t="shared" si="228"/>
        <v>125.55415836437636</v>
      </c>
      <c r="BC86" s="184">
        <f t="shared" si="229"/>
        <v>854.73844993427713</v>
      </c>
      <c r="BD86" s="184"/>
      <c r="BE86" s="184"/>
      <c r="BF86" s="184">
        <f t="shared" si="230"/>
        <v>-17.908472477085304</v>
      </c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190">
        <f t="shared" si="231"/>
        <v>480</v>
      </c>
      <c r="BR86" s="190">
        <f t="shared" si="232"/>
        <v>861.75302680742118</v>
      </c>
      <c r="BS86" s="190">
        <f t="shared" si="233"/>
        <v>11.767180173221371</v>
      </c>
      <c r="BT86" s="190">
        <f t="shared" si="234"/>
        <v>0.442102590021558</v>
      </c>
      <c r="BU86" s="190">
        <f t="shared" si="235"/>
        <v>329.48104485019849</v>
      </c>
      <c r="BV86" s="190">
        <f t="shared" si="236"/>
        <v>117.15718635571285</v>
      </c>
      <c r="BW86" s="190">
        <f t="shared" si="237"/>
        <v>1291.6331205969359</v>
      </c>
      <c r="BX86" s="190"/>
      <c r="BY86" s="190"/>
      <c r="BZ86" s="190">
        <f t="shared" si="238"/>
        <v>-16.758137416396934</v>
      </c>
      <c r="CA86" s="2">
        <f t="shared" si="239"/>
        <v>426.67865367510063</v>
      </c>
      <c r="CD86" s="2"/>
      <c r="CE86" s="2"/>
      <c r="CF86" s="2"/>
      <c r="CG86" s="2"/>
      <c r="CH86" s="2"/>
      <c r="CI86" s="2"/>
      <c r="CL86" s="2"/>
      <c r="CM86" s="2"/>
      <c r="CN86" s="2"/>
      <c r="CO86" s="2"/>
      <c r="CP86" s="2"/>
      <c r="CQ86" s="2"/>
      <c r="CS86" s="2"/>
      <c r="CT86" s="2"/>
      <c r="CU86" s="2"/>
      <c r="CV86" s="2"/>
      <c r="CW86" s="2"/>
      <c r="CX86" s="2"/>
      <c r="CZ86" s="2"/>
      <c r="DA86" s="2"/>
      <c r="DB86" s="2"/>
      <c r="DC86" s="2"/>
      <c r="DD86" s="2"/>
      <c r="DE86" s="2"/>
      <c r="DG86" s="1"/>
      <c r="DH86" s="1"/>
      <c r="DI86" s="1"/>
      <c r="DJ86" s="1"/>
      <c r="DK86" s="1"/>
      <c r="DL86" s="1"/>
      <c r="DO86" s="97"/>
      <c r="DP86" s="97"/>
      <c r="DQ86" s="97"/>
      <c r="DR86" s="97"/>
      <c r="DS86" s="97"/>
      <c r="DT86" s="97"/>
    </row>
    <row r="87" spans="2:124" x14ac:dyDescent="0.35">
      <c r="B87" s="2"/>
      <c r="C87" s="2"/>
      <c r="D87" s="2"/>
      <c r="E87" s="2"/>
      <c r="F87" s="2"/>
      <c r="G87" s="2"/>
      <c r="I87" s="158">
        <f t="shared" si="179"/>
        <v>2042</v>
      </c>
      <c r="J87" s="79">
        <f t="shared" si="193"/>
        <v>498.87189134259165</v>
      </c>
      <c r="K87" s="79">
        <f t="shared" si="194"/>
        <v>9.9747719983075367</v>
      </c>
      <c r="L87" s="79">
        <f t="shared" si="195"/>
        <v>0.40529782402058162</v>
      </c>
      <c r="M87" s="79">
        <f t="shared" si="196"/>
        <v>279.29361595261093</v>
      </c>
      <c r="N87" s="79">
        <f t="shared" si="197"/>
        <v>107.40392336545413</v>
      </c>
      <c r="O87" s="79">
        <f t="shared" si="198"/>
        <v>869.81372374204739</v>
      </c>
      <c r="P87" s="79"/>
      <c r="Q87" s="79"/>
      <c r="R87" s="79">
        <f t="shared" si="199"/>
        <v>-15.755706918609514</v>
      </c>
      <c r="S87" s="162"/>
      <c r="T87" s="162">
        <f t="shared" si="200"/>
        <v>530.19373221911042</v>
      </c>
      <c r="U87" s="162">
        <f t="shared" si="201"/>
        <v>8.8423496509403172</v>
      </c>
      <c r="V87" s="162">
        <f t="shared" si="202"/>
        <v>0.35977829909823067</v>
      </c>
      <c r="W87" s="162">
        <f t="shared" si="203"/>
        <v>247.5857902263287</v>
      </c>
      <c r="X87" s="162">
        <f t="shared" si="204"/>
        <v>95.341249261031081</v>
      </c>
      <c r="Y87" s="162">
        <f t="shared" si="205"/>
        <v>860.13238414122827</v>
      </c>
      <c r="Z87" s="162"/>
      <c r="AA87" s="162"/>
      <c r="AB87" s="162">
        <f t="shared" si="206"/>
        <v>-12.988387565241876</v>
      </c>
      <c r="AC87" s="173">
        <f t="shared" si="207"/>
        <v>445.03126424742572</v>
      </c>
      <c r="AD87" s="173">
        <f t="shared" si="208"/>
        <v>477.69838290930937</v>
      </c>
      <c r="AE87" s="173">
        <f t="shared" si="209"/>
        <v>10.695404401177585</v>
      </c>
      <c r="AF87" s="178">
        <f t="shared" si="210"/>
        <v>0.43426479442571436</v>
      </c>
      <c r="AG87" s="173">
        <f t="shared" si="211"/>
        <v>299.47132323297268</v>
      </c>
      <c r="AH87" s="173">
        <f t="shared" si="212"/>
        <v>115.08017052281427</v>
      </c>
      <c r="AI87" s="173">
        <f t="shared" si="213"/>
        <v>874.73314833979794</v>
      </c>
      <c r="AJ87" s="173"/>
      <c r="AK87" s="173"/>
      <c r="AL87" s="173">
        <f t="shared" si="214"/>
        <v>-17.516728325298018</v>
      </c>
      <c r="AM87" s="179">
        <f t="shared" si="215"/>
        <v>432.83957758573609</v>
      </c>
      <c r="AN87" s="179">
        <f t="shared" si="216"/>
        <v>456.23372893334169</v>
      </c>
      <c r="AO87" s="179">
        <f t="shared" si="217"/>
        <v>11.416036804047643</v>
      </c>
      <c r="AP87" s="179">
        <f t="shared" si="218"/>
        <v>0.4632317648308471</v>
      </c>
      <c r="AQ87" s="179">
        <f t="shared" si="219"/>
        <v>319.6490305133342</v>
      </c>
      <c r="AR87" s="179">
        <f t="shared" si="220"/>
        <v>122.75641768017441</v>
      </c>
      <c r="AS87" s="179">
        <f t="shared" si="221"/>
        <v>879.36142739486377</v>
      </c>
      <c r="AT87" s="179"/>
      <c r="AU87" s="179"/>
      <c r="AV87" s="179">
        <f t="shared" si="222"/>
        <v>-19.277749731986528</v>
      </c>
      <c r="AW87" s="184">
        <f t="shared" si="223"/>
        <v>428.09836610619016</v>
      </c>
      <c r="AX87" s="184">
        <f t="shared" si="224"/>
        <v>429.76879005073033</v>
      </c>
      <c r="AY87" s="184">
        <f t="shared" si="225"/>
        <v>12.188142949979843</v>
      </c>
      <c r="AZ87" s="184">
        <f t="shared" si="226"/>
        <v>0.4942678045506318</v>
      </c>
      <c r="BA87" s="184">
        <f t="shared" si="227"/>
        <v>341.26800259943536</v>
      </c>
      <c r="BB87" s="184">
        <f t="shared" si="228"/>
        <v>130.98096820591738</v>
      </c>
      <c r="BC87" s="184">
        <f t="shared" si="229"/>
        <v>876.43876665848097</v>
      </c>
      <c r="BD87" s="184"/>
      <c r="BE87" s="184"/>
      <c r="BF87" s="184">
        <f t="shared" si="230"/>
        <v>-21.164558382009904</v>
      </c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190">
        <f t="shared" si="231"/>
        <v>480</v>
      </c>
      <c r="BR87" s="190">
        <f t="shared" si="232"/>
        <v>893.89339650559828</v>
      </c>
      <c r="BS87" s="190">
        <f t="shared" si="233"/>
        <v>12.286741559404627</v>
      </c>
      <c r="BT87" s="190">
        <f t="shared" si="234"/>
        <v>0.4612656974159513</v>
      </c>
      <c r="BU87" s="190">
        <f t="shared" si="235"/>
        <v>344.02876366332964</v>
      </c>
      <c r="BV87" s="190">
        <f t="shared" si="236"/>
        <v>122.23540981522707</v>
      </c>
      <c r="BW87" s="190">
        <f t="shared" si="237"/>
        <v>1340.3524984920498</v>
      </c>
      <c r="BX87" s="190"/>
      <c r="BY87" s="190"/>
      <c r="BZ87" s="190">
        <f t="shared" si="238"/>
        <v>-19.805071492105469</v>
      </c>
      <c r="CA87" s="2">
        <f t="shared" si="239"/>
        <v>426.67865367510063</v>
      </c>
      <c r="CD87" s="2"/>
      <c r="CE87" s="2"/>
      <c r="CF87" s="2"/>
      <c r="CG87" s="2"/>
      <c r="CH87" s="2"/>
      <c r="CI87" s="2"/>
      <c r="CL87" s="2"/>
      <c r="CM87" s="2"/>
      <c r="CN87" s="2"/>
      <c r="CO87" s="2"/>
      <c r="CP87" s="2"/>
      <c r="CQ87" s="2"/>
      <c r="CS87" s="2"/>
      <c r="CT87" s="2"/>
      <c r="CU87" s="2"/>
      <c r="CV87" s="2"/>
      <c r="CW87" s="2"/>
      <c r="CX87" s="2"/>
      <c r="CZ87" s="2"/>
      <c r="DA87" s="2"/>
      <c r="DB87" s="2"/>
      <c r="DC87" s="2"/>
      <c r="DD87" s="2"/>
      <c r="DE87" s="2"/>
      <c r="DG87" s="1"/>
      <c r="DH87" s="1"/>
      <c r="DI87" s="1"/>
      <c r="DJ87" s="1"/>
      <c r="DK87" s="1"/>
      <c r="DL87" s="1"/>
      <c r="DO87" s="97"/>
      <c r="DP87" s="97"/>
      <c r="DQ87" s="97"/>
      <c r="DR87" s="97"/>
      <c r="DS87" s="97"/>
      <c r="DT87" s="97"/>
    </row>
    <row r="88" spans="2:124" x14ac:dyDescent="0.35">
      <c r="B88" s="2"/>
      <c r="C88" s="2"/>
      <c r="D88" s="2"/>
      <c r="E88" s="2"/>
      <c r="F88" s="2"/>
      <c r="G88" s="2"/>
      <c r="I88" s="158">
        <f t="shared" si="179"/>
        <v>2043</v>
      </c>
      <c r="J88" s="79">
        <f t="shared" si="193"/>
        <v>505.58874527506055</v>
      </c>
      <c r="K88" s="79">
        <f t="shared" si="194"/>
        <v>10.34696677531182</v>
      </c>
      <c r="L88" s="79">
        <f t="shared" si="195"/>
        <v>0.4205428234580364</v>
      </c>
      <c r="M88" s="79">
        <f t="shared" si="196"/>
        <v>289.71506970873088</v>
      </c>
      <c r="N88" s="79">
        <f t="shared" si="197"/>
        <v>111.44384821637965</v>
      </c>
      <c r="O88" s="79">
        <f t="shared" si="198"/>
        <v>888.36600512846019</v>
      </c>
      <c r="P88" s="79"/>
      <c r="Q88" s="79"/>
      <c r="R88" s="79">
        <f t="shared" si="199"/>
        <v>-18.381658071711101</v>
      </c>
      <c r="S88" s="162"/>
      <c r="T88" s="162">
        <f t="shared" si="200"/>
        <v>537.75338751894367</v>
      </c>
      <c r="U88" s="162">
        <f t="shared" si="201"/>
        <v>9.1479313486877061</v>
      </c>
      <c r="V88" s="162">
        <f t="shared" si="202"/>
        <v>0.37234567942260599</v>
      </c>
      <c r="W88" s="162">
        <f t="shared" si="203"/>
        <v>256.1420777632556</v>
      </c>
      <c r="X88" s="162">
        <f t="shared" si="204"/>
        <v>98.671605046990535</v>
      </c>
      <c r="Y88" s="162">
        <f t="shared" si="205"/>
        <v>877.41395150307426</v>
      </c>
      <c r="Z88" s="162"/>
      <c r="AA88" s="162"/>
      <c r="AB88" s="162">
        <f t="shared" si="206"/>
        <v>-15.153118826115522</v>
      </c>
      <c r="AC88" s="173">
        <f t="shared" si="207"/>
        <v>445.03126424742572</v>
      </c>
      <c r="AD88" s="173">
        <f t="shared" si="208"/>
        <v>483.85359639145236</v>
      </c>
      <c r="AE88" s="173">
        <f t="shared" si="209"/>
        <v>11.109989319527166</v>
      </c>
      <c r="AF88" s="178">
        <f t="shared" si="210"/>
        <v>0.45121373329876518</v>
      </c>
      <c r="AG88" s="173">
        <f t="shared" si="211"/>
        <v>311.07970094676097</v>
      </c>
      <c r="AH88" s="173">
        <f t="shared" si="212"/>
        <v>119.57163932417274</v>
      </c>
      <c r="AI88" s="173">
        <f t="shared" si="213"/>
        <v>894.06875361620462</v>
      </c>
      <c r="AJ88" s="173"/>
      <c r="AK88" s="173"/>
      <c r="AL88" s="173">
        <f t="shared" si="214"/>
        <v>-20.436183046181021</v>
      </c>
      <c r="AM88" s="179">
        <f t="shared" si="215"/>
        <v>432.83957758573609</v>
      </c>
      <c r="AN88" s="179">
        <f t="shared" si="216"/>
        <v>461.82696127328325</v>
      </c>
      <c r="AO88" s="179">
        <f t="shared" si="217"/>
        <v>11.873011863742521</v>
      </c>
      <c r="AP88" s="179">
        <f t="shared" si="218"/>
        <v>0.48188464313949397</v>
      </c>
      <c r="AQ88" s="179">
        <f t="shared" si="219"/>
        <v>332.44433218479082</v>
      </c>
      <c r="AR88" s="179">
        <f t="shared" si="220"/>
        <v>127.69943043196582</v>
      </c>
      <c r="AS88" s="179">
        <f t="shared" si="221"/>
        <v>899.48001586938892</v>
      </c>
      <c r="AT88" s="179"/>
      <c r="AU88" s="179"/>
      <c r="AV88" s="179">
        <f t="shared" si="222"/>
        <v>-22.490708020650949</v>
      </c>
      <c r="AW88" s="184">
        <f t="shared" si="223"/>
        <v>428.09836610619016</v>
      </c>
      <c r="AX88" s="184">
        <f t="shared" si="224"/>
        <v>434.54855356703075</v>
      </c>
      <c r="AY88" s="184">
        <f t="shared" si="225"/>
        <v>12.690536018258969</v>
      </c>
      <c r="AZ88" s="184">
        <f t="shared" si="226"/>
        <v>0.51474633225456012</v>
      </c>
      <c r="BA88" s="184">
        <f t="shared" si="227"/>
        <v>355.33500851125086</v>
      </c>
      <c r="BB88" s="184">
        <f t="shared" si="228"/>
        <v>136.40777804745838</v>
      </c>
      <c r="BC88" s="184">
        <f t="shared" si="229"/>
        <v>897.1849195311363</v>
      </c>
      <c r="BD88" s="184"/>
      <c r="BE88" s="184"/>
      <c r="BF88" s="184">
        <f t="shared" si="230"/>
        <v>-24.691984779011555</v>
      </c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190">
        <f t="shared" si="231"/>
        <v>480</v>
      </c>
      <c r="BR88" s="190">
        <f t="shared" si="232"/>
        <v>922.01621999150325</v>
      </c>
      <c r="BS88" s="190">
        <f t="shared" si="233"/>
        <v>12.806302945587882</v>
      </c>
      <c r="BT88" s="190">
        <f t="shared" si="234"/>
        <v>0.48042880481034461</v>
      </c>
      <c r="BU88" s="190">
        <f t="shared" si="235"/>
        <v>358.5764824764608</v>
      </c>
      <c r="BV88" s="190">
        <f t="shared" si="236"/>
        <v>127.31363327474129</v>
      </c>
      <c r="BW88" s="190">
        <f t="shared" si="237"/>
        <v>1384.8004190019158</v>
      </c>
      <c r="BX88" s="190"/>
      <c r="BY88" s="190"/>
      <c r="BZ88" s="190">
        <f t="shared" si="238"/>
        <v>-23.105916740789713</v>
      </c>
      <c r="CA88" s="2">
        <f t="shared" si="239"/>
        <v>426.67865367510063</v>
      </c>
      <c r="CD88" s="2"/>
      <c r="CE88" s="2"/>
      <c r="CF88" s="2"/>
      <c r="CG88" s="2"/>
      <c r="CH88" s="2"/>
      <c r="CI88" s="2"/>
      <c r="CL88" s="2"/>
      <c r="CM88" s="2"/>
      <c r="CN88" s="2"/>
      <c r="CO88" s="2"/>
      <c r="CP88" s="2"/>
      <c r="CQ88" s="2"/>
      <c r="CS88" s="2"/>
      <c r="CT88" s="2"/>
      <c r="CU88" s="2"/>
      <c r="CV88" s="2"/>
      <c r="CW88" s="2"/>
      <c r="CX88" s="2"/>
      <c r="CZ88" s="2"/>
      <c r="DA88" s="2"/>
      <c r="DB88" s="2"/>
      <c r="DC88" s="2"/>
      <c r="DD88" s="2"/>
      <c r="DE88" s="2"/>
      <c r="DG88" s="1"/>
      <c r="DH88" s="1"/>
      <c r="DI88" s="1"/>
      <c r="DJ88" s="1"/>
      <c r="DK88" s="1"/>
      <c r="DL88" s="1"/>
      <c r="DO88" s="97"/>
      <c r="DP88" s="97"/>
      <c r="DQ88" s="97"/>
      <c r="DR88" s="97"/>
      <c r="DS88" s="97"/>
      <c r="DT88" s="97"/>
    </row>
    <row r="89" spans="2:124" x14ac:dyDescent="0.35">
      <c r="B89" s="2"/>
      <c r="C89" s="2"/>
      <c r="D89" s="2"/>
      <c r="E89" s="2"/>
      <c r="F89" s="2"/>
      <c r="G89" s="2"/>
      <c r="I89" s="158">
        <f t="shared" si="179"/>
        <v>2044</v>
      </c>
      <c r="J89" s="79">
        <f t="shared" si="193"/>
        <v>511.34604864574817</v>
      </c>
      <c r="K89" s="79">
        <f t="shared" si="194"/>
        <v>10.719161552316104</v>
      </c>
      <c r="L89" s="79">
        <f t="shared" si="195"/>
        <v>0.43578782289549117</v>
      </c>
      <c r="M89" s="79">
        <f t="shared" si="196"/>
        <v>300.13652346485082</v>
      </c>
      <c r="N89" s="79">
        <f t="shared" si="197"/>
        <v>115.48377306730517</v>
      </c>
      <c r="O89" s="79">
        <f t="shared" si="198"/>
        <v>905.75673971054539</v>
      </c>
      <c r="P89" s="79"/>
      <c r="Q89" s="79"/>
      <c r="R89" s="79">
        <f t="shared" si="199"/>
        <v>-21.209605467358962</v>
      </c>
      <c r="S89" s="162"/>
      <c r="T89" s="162">
        <f t="shared" si="200"/>
        <v>544.23309206165789</v>
      </c>
      <c r="U89" s="162">
        <f t="shared" si="201"/>
        <v>9.4535130464350949</v>
      </c>
      <c r="V89" s="162">
        <f t="shared" si="202"/>
        <v>0.38491305974698131</v>
      </c>
      <c r="W89" s="162">
        <f t="shared" si="203"/>
        <v>264.6983653001825</v>
      </c>
      <c r="X89" s="162">
        <f t="shared" si="204"/>
        <v>102.00196083294999</v>
      </c>
      <c r="Y89" s="162">
        <f t="shared" si="205"/>
        <v>893.44905031850328</v>
      </c>
      <c r="Z89" s="162"/>
      <c r="AA89" s="162"/>
      <c r="AB89" s="162">
        <f t="shared" si="206"/>
        <v>-17.484367876287141</v>
      </c>
      <c r="AC89" s="173">
        <f t="shared" si="207"/>
        <v>445.03126424742572</v>
      </c>
      <c r="AD89" s="173">
        <f t="shared" si="208"/>
        <v>489.12949366186058</v>
      </c>
      <c r="AE89" s="173">
        <f t="shared" si="209"/>
        <v>11.524574237876747</v>
      </c>
      <c r="AF89" s="178">
        <f t="shared" si="210"/>
        <v>0.46816267217181601</v>
      </c>
      <c r="AG89" s="173">
        <f t="shared" si="211"/>
        <v>322.68807866054925</v>
      </c>
      <c r="AH89" s="173">
        <f t="shared" si="212"/>
        <v>124.0631081255312</v>
      </c>
      <c r="AI89" s="173">
        <f t="shared" si="213"/>
        <v>912.30046924080864</v>
      </c>
      <c r="AJ89" s="173"/>
      <c r="AK89" s="173"/>
      <c r="AL89" s="173">
        <f t="shared" si="214"/>
        <v>-23.580211207131949</v>
      </c>
      <c r="AM89" s="179">
        <f t="shared" si="215"/>
        <v>432.83957758573609</v>
      </c>
      <c r="AN89" s="179">
        <f t="shared" si="216"/>
        <v>466.62116042180463</v>
      </c>
      <c r="AO89" s="179">
        <f t="shared" si="217"/>
        <v>12.329986923437399</v>
      </c>
      <c r="AP89" s="179">
        <f t="shared" si="218"/>
        <v>0.50053752144814079</v>
      </c>
      <c r="AQ89" s="179">
        <f t="shared" si="219"/>
        <v>345.23963385624745</v>
      </c>
      <c r="AR89" s="179">
        <f t="shared" si="220"/>
        <v>132.64244318375725</v>
      </c>
      <c r="AS89" s="179">
        <f t="shared" si="221"/>
        <v>918.55242051490427</v>
      </c>
      <c r="AT89" s="179"/>
      <c r="AU89" s="179"/>
      <c r="AV89" s="179">
        <f t="shared" si="222"/>
        <v>-25.95081694690494</v>
      </c>
      <c r="AW89" s="184">
        <f t="shared" si="223"/>
        <v>428.09836610619016</v>
      </c>
      <c r="AX89" s="184">
        <f t="shared" si="224"/>
        <v>438.64549372385972</v>
      </c>
      <c r="AY89" s="184">
        <f t="shared" si="225"/>
        <v>13.192929086538095</v>
      </c>
      <c r="AZ89" s="184">
        <f t="shared" si="226"/>
        <v>0.53522485995848845</v>
      </c>
      <c r="BA89" s="184">
        <f t="shared" si="227"/>
        <v>369.40201442306636</v>
      </c>
      <c r="BB89" s="184">
        <f t="shared" si="228"/>
        <v>141.83458788899938</v>
      </c>
      <c r="BC89" s="184">
        <f t="shared" si="229"/>
        <v>916.976908552243</v>
      </c>
      <c r="BD89" s="184"/>
      <c r="BE89" s="184"/>
      <c r="BF89" s="184">
        <f t="shared" si="230"/>
        <v>-28.490751668090258</v>
      </c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190">
        <f t="shared" si="231"/>
        <v>480</v>
      </c>
      <c r="BR89" s="190">
        <f t="shared" si="232"/>
        <v>946.1214972651361</v>
      </c>
      <c r="BS89" s="190">
        <f t="shared" si="233"/>
        <v>13.325864331771138</v>
      </c>
      <c r="BT89" s="190">
        <f t="shared" si="234"/>
        <v>0.49959191220473792</v>
      </c>
      <c r="BU89" s="190">
        <f t="shared" si="235"/>
        <v>373.12420128959195</v>
      </c>
      <c r="BV89" s="190">
        <f t="shared" si="236"/>
        <v>132.39185673425553</v>
      </c>
      <c r="BW89" s="190">
        <f t="shared" si="237"/>
        <v>1424.9768821265341</v>
      </c>
      <c r="BX89" s="190"/>
      <c r="BY89" s="190"/>
      <c r="BZ89" s="190">
        <f t="shared" si="238"/>
        <v>-26.660673162449669</v>
      </c>
      <c r="CA89" s="2">
        <f t="shared" si="239"/>
        <v>426.67865367510063</v>
      </c>
      <c r="CD89" s="2"/>
      <c r="CE89" s="2"/>
      <c r="CF89" s="2"/>
      <c r="CG89" s="2"/>
      <c r="CH89" s="2"/>
      <c r="CI89" s="2"/>
      <c r="CL89" s="2"/>
      <c r="CM89" s="2"/>
      <c r="CN89" s="2"/>
      <c r="CO89" s="2"/>
      <c r="CP89" s="2"/>
      <c r="CQ89" s="2"/>
      <c r="CS89" s="2"/>
      <c r="CT89" s="2"/>
      <c r="CU89" s="2"/>
      <c r="CV89" s="2"/>
      <c r="CW89" s="2"/>
      <c r="CX89" s="2"/>
      <c r="CZ89" s="2"/>
      <c r="DA89" s="2"/>
      <c r="DB89" s="2"/>
      <c r="DC89" s="2"/>
      <c r="DD89" s="2"/>
      <c r="DE89" s="2"/>
      <c r="DG89" s="1"/>
      <c r="DH89" s="1"/>
      <c r="DI89" s="1"/>
      <c r="DJ89" s="1"/>
      <c r="DK89" s="1"/>
      <c r="DL89" s="1"/>
      <c r="DO89" s="97"/>
      <c r="DP89" s="97"/>
      <c r="DQ89" s="97"/>
      <c r="DR89" s="97"/>
      <c r="DS89" s="97"/>
      <c r="DT89" s="97"/>
    </row>
    <row r="90" spans="2:124" x14ac:dyDescent="0.35">
      <c r="B90" s="2"/>
      <c r="C90" s="2"/>
      <c r="D90" s="2"/>
      <c r="E90" s="2"/>
      <c r="F90" s="2"/>
      <c r="G90" s="2"/>
      <c r="I90" s="158">
        <f t="shared" si="179"/>
        <v>2045</v>
      </c>
      <c r="J90" s="79">
        <f t="shared" si="193"/>
        <v>516.14380145465452</v>
      </c>
      <c r="K90" s="79">
        <f t="shared" si="194"/>
        <v>11.091356329320387</v>
      </c>
      <c r="L90" s="79">
        <f t="shared" si="195"/>
        <v>0.45103282233294595</v>
      </c>
      <c r="M90" s="79">
        <f t="shared" si="196"/>
        <v>310.55797722097077</v>
      </c>
      <c r="N90" s="79">
        <f t="shared" si="197"/>
        <v>119.52369791823068</v>
      </c>
      <c r="O90" s="79">
        <f t="shared" si="198"/>
        <v>921.9859274883031</v>
      </c>
      <c r="P90" s="79"/>
      <c r="Q90" s="79"/>
      <c r="R90" s="79">
        <f t="shared" si="199"/>
        <v>-24.239549105553099</v>
      </c>
      <c r="S90" s="162"/>
      <c r="T90" s="162">
        <f t="shared" si="200"/>
        <v>549.63284584725307</v>
      </c>
      <c r="U90" s="162">
        <f t="shared" si="201"/>
        <v>9.7590947441824838</v>
      </c>
      <c r="V90" s="162">
        <f t="shared" si="202"/>
        <v>0.39748044007135663</v>
      </c>
      <c r="W90" s="162">
        <f t="shared" si="203"/>
        <v>273.2546528371094</v>
      </c>
      <c r="X90" s="162">
        <f t="shared" si="204"/>
        <v>105.33231661890945</v>
      </c>
      <c r="Y90" s="162">
        <f t="shared" si="205"/>
        <v>908.23768058751523</v>
      </c>
      <c r="Z90" s="162"/>
      <c r="AA90" s="162"/>
      <c r="AB90" s="162">
        <f t="shared" si="206"/>
        <v>-19.982134715756732</v>
      </c>
      <c r="AC90" s="173">
        <f t="shared" si="207"/>
        <v>445.03126424742572</v>
      </c>
      <c r="AD90" s="173">
        <f t="shared" si="208"/>
        <v>493.52607472053415</v>
      </c>
      <c r="AE90" s="173">
        <f t="shared" si="209"/>
        <v>11.939159156226328</v>
      </c>
      <c r="AF90" s="178">
        <f t="shared" si="210"/>
        <v>0.48511161104486683</v>
      </c>
      <c r="AG90" s="173">
        <f t="shared" si="211"/>
        <v>334.29645637433754</v>
      </c>
      <c r="AH90" s="173">
        <f t="shared" si="212"/>
        <v>128.55457692688967</v>
      </c>
      <c r="AI90" s="173">
        <f t="shared" si="213"/>
        <v>929.42829521361011</v>
      </c>
      <c r="AJ90" s="173"/>
      <c r="AK90" s="173"/>
      <c r="AL90" s="173">
        <f t="shared" si="214"/>
        <v>-26.948812808150798</v>
      </c>
      <c r="AM90" s="179">
        <f t="shared" si="215"/>
        <v>432.83957758573609</v>
      </c>
      <c r="AN90" s="179">
        <f t="shared" si="216"/>
        <v>470.61632637890574</v>
      </c>
      <c r="AO90" s="179">
        <f t="shared" si="217"/>
        <v>12.786961983132278</v>
      </c>
      <c r="AP90" s="179">
        <f t="shared" si="218"/>
        <v>0.5191903997567876</v>
      </c>
      <c r="AQ90" s="179">
        <f t="shared" si="219"/>
        <v>358.03493552770408</v>
      </c>
      <c r="AR90" s="179">
        <f t="shared" si="220"/>
        <v>137.58545593554868</v>
      </c>
      <c r="AS90" s="179">
        <f t="shared" si="221"/>
        <v>936.57864133140981</v>
      </c>
      <c r="AT90" s="179"/>
      <c r="AU90" s="179"/>
      <c r="AV90" s="179">
        <f t="shared" si="222"/>
        <v>-29.658076510748504</v>
      </c>
      <c r="AW90" s="184">
        <f t="shared" si="223"/>
        <v>428.09836610619016</v>
      </c>
      <c r="AX90" s="184">
        <f t="shared" si="224"/>
        <v>442.05961052121717</v>
      </c>
      <c r="AY90" s="184">
        <f t="shared" si="225"/>
        <v>13.695322154817221</v>
      </c>
      <c r="AZ90" s="184">
        <f t="shared" si="226"/>
        <v>0.55570338766241678</v>
      </c>
      <c r="BA90" s="184">
        <f t="shared" si="227"/>
        <v>383.46902033488186</v>
      </c>
      <c r="BB90" s="184">
        <f t="shared" si="228"/>
        <v>147.26139773054038</v>
      </c>
      <c r="BC90" s="184">
        <f t="shared" si="229"/>
        <v>935.81473372180119</v>
      </c>
      <c r="BD90" s="184"/>
      <c r="BE90" s="184"/>
      <c r="BF90" s="184">
        <f t="shared" si="230"/>
        <v>-32.560859049246012</v>
      </c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190">
        <f t="shared" si="231"/>
        <v>480</v>
      </c>
      <c r="BR90" s="190">
        <f t="shared" si="232"/>
        <v>966.20922832649683</v>
      </c>
      <c r="BS90" s="190">
        <f t="shared" si="233"/>
        <v>13.845425717954393</v>
      </c>
      <c r="BT90" s="190">
        <f t="shared" si="234"/>
        <v>0.51875501959913117</v>
      </c>
      <c r="BU90" s="190">
        <f t="shared" si="235"/>
        <v>387.67192010272311</v>
      </c>
      <c r="BV90" s="190">
        <f t="shared" si="236"/>
        <v>137.47008019376975</v>
      </c>
      <c r="BW90" s="190">
        <f t="shared" si="237"/>
        <v>1460.8818878659044</v>
      </c>
      <c r="BX90" s="190"/>
      <c r="BY90" s="190"/>
      <c r="BZ90" s="190">
        <f t="shared" si="238"/>
        <v>-30.469340757085334</v>
      </c>
      <c r="CA90" s="2">
        <f t="shared" si="239"/>
        <v>426.67865367510063</v>
      </c>
      <c r="CD90" s="2"/>
      <c r="CE90" s="2"/>
      <c r="CF90" s="2"/>
      <c r="CG90" s="2"/>
      <c r="CH90" s="2"/>
      <c r="CI90" s="2"/>
      <c r="CL90" s="2"/>
      <c r="CM90" s="2"/>
      <c r="CN90" s="2"/>
      <c r="CO90" s="2"/>
      <c r="CP90" s="2"/>
      <c r="CQ90" s="2"/>
      <c r="CS90" s="2"/>
      <c r="CT90" s="2"/>
      <c r="CU90" s="2"/>
      <c r="CV90" s="2"/>
      <c r="CW90" s="2"/>
      <c r="CX90" s="2"/>
      <c r="CZ90" s="2"/>
      <c r="DA90" s="2"/>
      <c r="DB90" s="2"/>
      <c r="DC90" s="2"/>
      <c r="DD90" s="2"/>
      <c r="DE90" s="2"/>
      <c r="DG90" s="1"/>
      <c r="DH90" s="1"/>
      <c r="DI90" s="1"/>
      <c r="DJ90" s="1"/>
      <c r="DK90" s="1"/>
      <c r="DL90" s="1"/>
      <c r="DO90" s="97"/>
      <c r="DP90" s="97"/>
      <c r="DQ90" s="97"/>
      <c r="DR90" s="97"/>
      <c r="DS90" s="97"/>
      <c r="DT90" s="97"/>
    </row>
    <row r="91" spans="2:124" x14ac:dyDescent="0.35">
      <c r="B91" s="2"/>
      <c r="C91" s="2"/>
      <c r="D91" s="2"/>
      <c r="E91" s="2"/>
      <c r="F91" s="2"/>
      <c r="G91" s="2"/>
      <c r="I91" s="158">
        <f t="shared" si="179"/>
        <v>2046</v>
      </c>
      <c r="J91" s="79">
        <f t="shared" si="193"/>
        <v>519.9820037017796</v>
      </c>
      <c r="K91" s="79">
        <f t="shared" si="194"/>
        <v>11.463551106324671</v>
      </c>
      <c r="L91" s="79">
        <f t="shared" si="195"/>
        <v>0.46627782177040072</v>
      </c>
      <c r="M91" s="79">
        <f t="shared" si="196"/>
        <v>320.97943097709071</v>
      </c>
      <c r="N91" s="79">
        <f t="shared" si="197"/>
        <v>123.5636227691562</v>
      </c>
      <c r="O91" s="79">
        <f t="shared" si="198"/>
        <v>937.05356846173322</v>
      </c>
      <c r="P91" s="79"/>
      <c r="Q91" s="79"/>
      <c r="R91" s="79">
        <f t="shared" si="199"/>
        <v>-27.471488986293512</v>
      </c>
      <c r="S91" s="162"/>
      <c r="T91" s="162">
        <f t="shared" si="200"/>
        <v>553.95264887572921</v>
      </c>
      <c r="U91" s="162">
        <f t="shared" si="201"/>
        <v>10.064676441929873</v>
      </c>
      <c r="V91" s="162">
        <f t="shared" si="202"/>
        <v>0.41004782039573195</v>
      </c>
      <c r="W91" s="162">
        <f t="shared" si="203"/>
        <v>281.81094037403631</v>
      </c>
      <c r="X91" s="162">
        <f t="shared" si="204"/>
        <v>108.6626724048689</v>
      </c>
      <c r="Y91" s="162">
        <f t="shared" si="205"/>
        <v>921.77984231011021</v>
      </c>
      <c r="Z91" s="162"/>
      <c r="AA91" s="162"/>
      <c r="AB91" s="162">
        <f t="shared" si="206"/>
        <v>-22.646419344524297</v>
      </c>
      <c r="AC91" s="173">
        <f t="shared" si="207"/>
        <v>445.03126424742572</v>
      </c>
      <c r="AD91" s="173">
        <f t="shared" si="208"/>
        <v>497.04333956747297</v>
      </c>
      <c r="AE91" s="173">
        <f t="shared" si="209"/>
        <v>12.353744074575909</v>
      </c>
      <c r="AF91" s="178">
        <f t="shared" si="210"/>
        <v>0.5020605499179176</v>
      </c>
      <c r="AG91" s="173">
        <f t="shared" si="211"/>
        <v>345.90483408812582</v>
      </c>
      <c r="AH91" s="173">
        <f t="shared" si="212"/>
        <v>133.04604572824815</v>
      </c>
      <c r="AI91" s="173">
        <f t="shared" si="213"/>
        <v>945.45223153460893</v>
      </c>
      <c r="AJ91" s="173"/>
      <c r="AK91" s="173"/>
      <c r="AL91" s="173">
        <f t="shared" si="214"/>
        <v>-30.541987849237572</v>
      </c>
      <c r="AM91" s="179">
        <f t="shared" si="215"/>
        <v>432.83957758573609</v>
      </c>
      <c r="AN91" s="179">
        <f t="shared" si="216"/>
        <v>473.81245914458663</v>
      </c>
      <c r="AO91" s="179">
        <f t="shared" si="217"/>
        <v>13.243937042827156</v>
      </c>
      <c r="AP91" s="179">
        <f t="shared" si="218"/>
        <v>0.53784327806543442</v>
      </c>
      <c r="AQ91" s="179">
        <f t="shared" si="219"/>
        <v>370.83023719916071</v>
      </c>
      <c r="AR91" s="179">
        <f t="shared" si="220"/>
        <v>142.52846868734011</v>
      </c>
      <c r="AS91" s="179">
        <f t="shared" si="221"/>
        <v>953.55867831890555</v>
      </c>
      <c r="AT91" s="179"/>
      <c r="AU91" s="179"/>
      <c r="AV91" s="179">
        <f t="shared" si="222"/>
        <v>-33.612486712181635</v>
      </c>
      <c r="AW91" s="184">
        <f t="shared" si="223"/>
        <v>428.09836610619016</v>
      </c>
      <c r="AX91" s="184">
        <f t="shared" si="224"/>
        <v>444.79090395910316</v>
      </c>
      <c r="AY91" s="184">
        <f t="shared" si="225"/>
        <v>14.197715223096347</v>
      </c>
      <c r="AZ91" s="184">
        <f t="shared" si="226"/>
        <v>0.57618191536634511</v>
      </c>
      <c r="BA91" s="184">
        <f t="shared" si="227"/>
        <v>397.53602624669736</v>
      </c>
      <c r="BB91" s="184">
        <f t="shared" si="228"/>
        <v>152.68820757208138</v>
      </c>
      <c r="BC91" s="184">
        <f t="shared" si="229"/>
        <v>953.69839503981086</v>
      </c>
      <c r="BD91" s="184"/>
      <c r="BE91" s="184"/>
      <c r="BF91" s="184">
        <f t="shared" si="230"/>
        <v>-36.902306922478814</v>
      </c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190">
        <f t="shared" si="231"/>
        <v>480</v>
      </c>
      <c r="BR91" s="190">
        <f t="shared" si="232"/>
        <v>982.27941317558532</v>
      </c>
      <c r="BS91" s="190">
        <f t="shared" si="233"/>
        <v>14.364987104137649</v>
      </c>
      <c r="BT91" s="190">
        <f t="shared" si="234"/>
        <v>0.53791812699352448</v>
      </c>
      <c r="BU91" s="190">
        <f t="shared" si="235"/>
        <v>402.21963891585426</v>
      </c>
      <c r="BV91" s="190">
        <f t="shared" si="236"/>
        <v>142.54830365328397</v>
      </c>
      <c r="BW91" s="190">
        <f t="shared" si="237"/>
        <v>1492.5154362200269</v>
      </c>
      <c r="BX91" s="190"/>
      <c r="BY91" s="190"/>
      <c r="BZ91" s="190">
        <f t="shared" si="238"/>
        <v>-34.531919524696711</v>
      </c>
      <c r="CA91" s="2">
        <f t="shared" si="239"/>
        <v>426.67865367510063</v>
      </c>
      <c r="CD91" s="2"/>
      <c r="CE91" s="2"/>
      <c r="CF91" s="2"/>
      <c r="CG91" s="2"/>
      <c r="CH91" s="2"/>
      <c r="CI91" s="2"/>
      <c r="CL91" s="2"/>
      <c r="CM91" s="2"/>
      <c r="CN91" s="2"/>
      <c r="CO91" s="2"/>
      <c r="CP91" s="2"/>
      <c r="CQ91" s="2"/>
      <c r="CS91" s="2"/>
      <c r="CT91" s="2"/>
      <c r="CU91" s="2"/>
      <c r="CV91" s="2"/>
      <c r="CW91" s="2"/>
      <c r="CX91" s="2"/>
      <c r="CZ91" s="2"/>
      <c r="DA91" s="2"/>
      <c r="DB91" s="2"/>
      <c r="DC91" s="2"/>
      <c r="DD91" s="2"/>
      <c r="DE91" s="2"/>
      <c r="DG91" s="1"/>
      <c r="DH91" s="1"/>
      <c r="DI91" s="1"/>
      <c r="DJ91" s="1"/>
      <c r="DK91" s="1"/>
      <c r="DL91" s="1"/>
      <c r="DO91" s="97"/>
      <c r="DP91" s="97"/>
      <c r="DQ91" s="97"/>
      <c r="DR91" s="97"/>
      <c r="DS91" s="97"/>
      <c r="DT91" s="97"/>
    </row>
    <row r="92" spans="2:124" x14ac:dyDescent="0.35">
      <c r="B92" s="2"/>
      <c r="C92" s="2"/>
      <c r="D92" s="2"/>
      <c r="E92" s="2"/>
      <c r="F92" s="2"/>
      <c r="G92" s="2"/>
      <c r="I92" s="158">
        <f t="shared" si="179"/>
        <v>2047</v>
      </c>
      <c r="J92" s="79">
        <f t="shared" si="193"/>
        <v>522.86065538712342</v>
      </c>
      <c r="K92" s="79">
        <f t="shared" si="194"/>
        <v>11.835745883328954</v>
      </c>
      <c r="L92" s="79">
        <f t="shared" si="195"/>
        <v>0.4815228212078555</v>
      </c>
      <c r="M92" s="79">
        <f t="shared" si="196"/>
        <v>331.40088473321066</v>
      </c>
      <c r="N92" s="79">
        <f t="shared" si="197"/>
        <v>127.60354762008171</v>
      </c>
      <c r="O92" s="79">
        <f t="shared" si="198"/>
        <v>950.95966263083585</v>
      </c>
      <c r="P92" s="79"/>
      <c r="Q92" s="79"/>
      <c r="R92" s="79">
        <f t="shared" si="199"/>
        <v>-30.9054251095802</v>
      </c>
      <c r="S92" s="162"/>
      <c r="T92" s="162">
        <f t="shared" si="200"/>
        <v>557.19250114708632</v>
      </c>
      <c r="U92" s="162">
        <f t="shared" si="201"/>
        <v>10.370258139677262</v>
      </c>
      <c r="V92" s="162">
        <f t="shared" si="202"/>
        <v>0.42261520072010728</v>
      </c>
      <c r="W92" s="162">
        <f t="shared" si="203"/>
        <v>290.36722791096321</v>
      </c>
      <c r="X92" s="162">
        <f t="shared" si="204"/>
        <v>111.99302819082835</v>
      </c>
      <c r="Y92" s="162">
        <f t="shared" si="205"/>
        <v>934.07553548628812</v>
      </c>
      <c r="Z92" s="162"/>
      <c r="AA92" s="162"/>
      <c r="AB92" s="162">
        <f t="shared" si="206"/>
        <v>-25.477221762589835</v>
      </c>
      <c r="AC92" s="173">
        <f t="shared" si="207"/>
        <v>445.03126424742572</v>
      </c>
      <c r="AD92" s="173">
        <f t="shared" si="208"/>
        <v>499.68128820267708</v>
      </c>
      <c r="AE92" s="173">
        <f t="shared" si="209"/>
        <v>12.76832899292549</v>
      </c>
      <c r="AF92" s="178">
        <f t="shared" si="210"/>
        <v>0.51900948879096842</v>
      </c>
      <c r="AG92" s="173">
        <f t="shared" si="211"/>
        <v>357.51321180191411</v>
      </c>
      <c r="AH92" s="173">
        <f t="shared" si="212"/>
        <v>137.53751452960663</v>
      </c>
      <c r="AI92" s="173">
        <f t="shared" si="213"/>
        <v>960.37227820380508</v>
      </c>
      <c r="AJ92" s="173"/>
      <c r="AK92" s="173"/>
      <c r="AL92" s="173">
        <f t="shared" si="214"/>
        <v>-34.359736330392266</v>
      </c>
      <c r="AM92" s="179">
        <f t="shared" si="215"/>
        <v>432.83957758573609</v>
      </c>
      <c r="AN92" s="179">
        <f t="shared" si="216"/>
        <v>476.20955871884729</v>
      </c>
      <c r="AO92" s="179">
        <f t="shared" si="217"/>
        <v>13.700912102522034</v>
      </c>
      <c r="AP92" s="179">
        <f t="shared" si="218"/>
        <v>0.55649615637408123</v>
      </c>
      <c r="AQ92" s="179">
        <f t="shared" si="219"/>
        <v>383.62553887061733</v>
      </c>
      <c r="AR92" s="179">
        <f t="shared" si="220"/>
        <v>147.47148143913154</v>
      </c>
      <c r="AS92" s="179">
        <f t="shared" si="221"/>
        <v>969.49253147739159</v>
      </c>
      <c r="AT92" s="179"/>
      <c r="AU92" s="179"/>
      <c r="AV92" s="179">
        <f t="shared" si="222"/>
        <v>-37.814047551204339</v>
      </c>
      <c r="AW92" s="184">
        <f t="shared" si="223"/>
        <v>428.09836610619016</v>
      </c>
      <c r="AX92" s="184">
        <f t="shared" si="224"/>
        <v>446.83937403751764</v>
      </c>
      <c r="AY92" s="184">
        <f t="shared" si="225"/>
        <v>14.700108291375473</v>
      </c>
      <c r="AZ92" s="184">
        <f t="shared" si="226"/>
        <v>0.59666044307027344</v>
      </c>
      <c r="BA92" s="184">
        <f t="shared" si="227"/>
        <v>411.60303215851286</v>
      </c>
      <c r="BB92" s="184">
        <f t="shared" si="228"/>
        <v>158.11501741362238</v>
      </c>
      <c r="BC92" s="184">
        <f t="shared" si="229"/>
        <v>970.62789250627202</v>
      </c>
      <c r="BD92" s="184"/>
      <c r="BE92" s="184"/>
      <c r="BF92" s="184">
        <f t="shared" si="230"/>
        <v>-41.515095287788668</v>
      </c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190">
        <f t="shared" si="231"/>
        <v>480</v>
      </c>
      <c r="BR92" s="190">
        <f t="shared" si="232"/>
        <v>994.33205181240169</v>
      </c>
      <c r="BS92" s="190">
        <f t="shared" si="233"/>
        <v>14.884548490320904</v>
      </c>
      <c r="BT92" s="190">
        <f t="shared" si="234"/>
        <v>0.55708123438791779</v>
      </c>
      <c r="BU92" s="190">
        <f t="shared" si="235"/>
        <v>416.76735772898542</v>
      </c>
      <c r="BV92" s="190">
        <f t="shared" si="236"/>
        <v>147.62652711279819</v>
      </c>
      <c r="BW92" s="190">
        <f t="shared" si="237"/>
        <v>1519.8775271889017</v>
      </c>
      <c r="BX92" s="190"/>
      <c r="BY92" s="190"/>
      <c r="BZ92" s="190">
        <f t="shared" si="238"/>
        <v>-38.848409465283801</v>
      </c>
      <c r="CA92" s="2">
        <f t="shared" si="239"/>
        <v>426.67865367510063</v>
      </c>
      <c r="CD92" s="2"/>
      <c r="CE92" s="2"/>
      <c r="CF92" s="2"/>
      <c r="CG92" s="2"/>
      <c r="CH92" s="2"/>
      <c r="CI92" s="2"/>
      <c r="CL92" s="2"/>
      <c r="CM92" s="2"/>
      <c r="CN92" s="2"/>
      <c r="CO92" s="2"/>
      <c r="CP92" s="2"/>
      <c r="CQ92" s="2"/>
      <c r="CS92" s="2"/>
      <c r="CT92" s="2"/>
      <c r="CU92" s="2"/>
      <c r="CV92" s="2"/>
      <c r="CW92" s="2"/>
      <c r="CX92" s="2"/>
      <c r="CZ92" s="2"/>
      <c r="DA92" s="2"/>
      <c r="DB92" s="2"/>
      <c r="DC92" s="2"/>
      <c r="DD92" s="2"/>
      <c r="DE92" s="2"/>
      <c r="DG92" s="1"/>
      <c r="DH92" s="1"/>
      <c r="DI92" s="1"/>
      <c r="DJ92" s="1"/>
      <c r="DK92" s="1"/>
      <c r="DL92" s="1"/>
      <c r="DO92" s="97"/>
      <c r="DP92" s="97"/>
      <c r="DQ92" s="97"/>
      <c r="DR92" s="97"/>
      <c r="DS92" s="97"/>
      <c r="DT92" s="97"/>
    </row>
    <row r="93" spans="2:124" x14ac:dyDescent="0.35">
      <c r="B93" s="2"/>
      <c r="C93" s="2"/>
      <c r="D93" s="2"/>
      <c r="E93" s="2"/>
      <c r="F93" s="2"/>
      <c r="G93" s="2"/>
      <c r="I93" s="158">
        <f t="shared" si="179"/>
        <v>2048</v>
      </c>
      <c r="J93" s="79">
        <f t="shared" si="193"/>
        <v>524.77975651068596</v>
      </c>
      <c r="K93" s="79">
        <f t="shared" si="194"/>
        <v>12.207940660333238</v>
      </c>
      <c r="L93" s="79">
        <f t="shared" si="195"/>
        <v>0.49676782064531028</v>
      </c>
      <c r="M93" s="79">
        <f t="shared" si="196"/>
        <v>341.8223384893306</v>
      </c>
      <c r="N93" s="79">
        <f t="shared" si="197"/>
        <v>131.64347247100724</v>
      </c>
      <c r="O93" s="79">
        <f t="shared" si="198"/>
        <v>963.70420999561088</v>
      </c>
      <c r="P93" s="79"/>
      <c r="Q93" s="79"/>
      <c r="R93" s="79">
        <f t="shared" si="199"/>
        <v>-34.541357475413164</v>
      </c>
      <c r="S93" s="162"/>
      <c r="T93" s="162">
        <f t="shared" si="200"/>
        <v>559.35240266132439</v>
      </c>
      <c r="U93" s="162">
        <f t="shared" si="201"/>
        <v>10.67583983742465</v>
      </c>
      <c r="V93" s="162">
        <f t="shared" si="202"/>
        <v>0.4351825810444826</v>
      </c>
      <c r="W93" s="162">
        <f t="shared" si="203"/>
        <v>298.92351544789011</v>
      </c>
      <c r="X93" s="162">
        <f t="shared" si="204"/>
        <v>115.32338397678781</v>
      </c>
      <c r="Y93" s="162">
        <f t="shared" si="205"/>
        <v>945.12476011604906</v>
      </c>
      <c r="Z93" s="162"/>
      <c r="AA93" s="162"/>
      <c r="AB93" s="162">
        <f t="shared" si="206"/>
        <v>-28.474541969953343</v>
      </c>
      <c r="AC93" s="173">
        <f t="shared" si="207"/>
        <v>445.03126424742572</v>
      </c>
      <c r="AD93" s="173">
        <f t="shared" si="208"/>
        <v>501.43992062614649</v>
      </c>
      <c r="AE93" s="173">
        <f t="shared" si="209"/>
        <v>13.182913911275071</v>
      </c>
      <c r="AF93" s="178">
        <f t="shared" si="210"/>
        <v>0.53595842766401924</v>
      </c>
      <c r="AG93" s="173">
        <f t="shared" si="211"/>
        <v>369.1215895157024</v>
      </c>
      <c r="AH93" s="173">
        <f t="shared" si="212"/>
        <v>142.0289833309651</v>
      </c>
      <c r="AI93" s="173">
        <f t="shared" si="213"/>
        <v>974.18843522119857</v>
      </c>
      <c r="AJ93" s="173"/>
      <c r="AK93" s="173"/>
      <c r="AL93" s="173">
        <f t="shared" si="214"/>
        <v>-38.402058251614889</v>
      </c>
      <c r="AM93" s="179">
        <f t="shared" si="215"/>
        <v>432.83957758573609</v>
      </c>
      <c r="AN93" s="179">
        <f t="shared" si="216"/>
        <v>477.80762510168773</v>
      </c>
      <c r="AO93" s="179">
        <f t="shared" si="217"/>
        <v>14.157887162216912</v>
      </c>
      <c r="AP93" s="179">
        <f t="shared" si="218"/>
        <v>0.57514903468272804</v>
      </c>
      <c r="AQ93" s="179">
        <f t="shared" si="219"/>
        <v>396.42084054207396</v>
      </c>
      <c r="AR93" s="179">
        <f t="shared" si="220"/>
        <v>152.41449419092297</v>
      </c>
      <c r="AS93" s="179">
        <f t="shared" si="221"/>
        <v>984.38020080686783</v>
      </c>
      <c r="AT93" s="179"/>
      <c r="AU93" s="179"/>
      <c r="AV93" s="179">
        <f t="shared" si="222"/>
        <v>-42.262759027816614</v>
      </c>
      <c r="AW93" s="184">
        <f t="shared" si="223"/>
        <v>428.09836610619016</v>
      </c>
      <c r="AX93" s="184">
        <f t="shared" si="224"/>
        <v>448.20502075646061</v>
      </c>
      <c r="AY93" s="184">
        <f t="shared" si="225"/>
        <v>15.202501359654599</v>
      </c>
      <c r="AZ93" s="184">
        <f t="shared" si="226"/>
        <v>0.61713897077420177</v>
      </c>
      <c r="BA93" s="184">
        <f t="shared" si="227"/>
        <v>425.67003807032836</v>
      </c>
      <c r="BB93" s="184">
        <f t="shared" si="228"/>
        <v>163.54182725516338</v>
      </c>
      <c r="BC93" s="184">
        <f t="shared" si="229"/>
        <v>986.60322612118466</v>
      </c>
      <c r="BD93" s="184"/>
      <c r="BE93" s="184"/>
      <c r="BF93" s="184">
        <f t="shared" si="230"/>
        <v>-46.399224145175566</v>
      </c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190">
        <f t="shared" si="231"/>
        <v>480</v>
      </c>
      <c r="BR93" s="190">
        <f t="shared" si="232"/>
        <v>1002.3671442369459</v>
      </c>
      <c r="BS93" s="190">
        <f t="shared" si="233"/>
        <v>15.40410987650416</v>
      </c>
      <c r="BT93" s="190">
        <f t="shared" si="234"/>
        <v>0.5762443417823111</v>
      </c>
      <c r="BU93" s="190">
        <f t="shared" si="235"/>
        <v>431.31507654211657</v>
      </c>
      <c r="BV93" s="190">
        <f t="shared" si="236"/>
        <v>152.70475057231241</v>
      </c>
      <c r="BW93" s="190">
        <f t="shared" si="237"/>
        <v>1542.9681607725286</v>
      </c>
      <c r="BX93" s="190"/>
      <c r="BY93" s="190"/>
      <c r="BZ93" s="190">
        <f t="shared" si="238"/>
        <v>-43.418810578846603</v>
      </c>
      <c r="CA93" s="2">
        <f t="shared" si="239"/>
        <v>426.67865367510063</v>
      </c>
      <c r="CD93" s="2"/>
      <c r="CE93" s="2"/>
      <c r="CF93" s="2"/>
      <c r="CG93" s="2"/>
      <c r="CH93" s="2"/>
      <c r="CI93" s="2"/>
      <c r="CL93" s="2"/>
      <c r="CM93" s="2"/>
      <c r="CN93" s="2"/>
      <c r="CO93" s="2"/>
      <c r="CP93" s="2"/>
      <c r="CQ93" s="2"/>
      <c r="CS93" s="2"/>
      <c r="CT93" s="2"/>
      <c r="CU93" s="2"/>
      <c r="CV93" s="2"/>
      <c r="CW93" s="2"/>
      <c r="CX93" s="2"/>
      <c r="CZ93" s="2"/>
      <c r="DA93" s="2"/>
      <c r="DB93" s="2"/>
      <c r="DC93" s="2"/>
      <c r="DD93" s="2"/>
      <c r="DE93" s="2"/>
      <c r="DG93" s="1"/>
      <c r="DH93" s="1"/>
      <c r="DI93" s="1"/>
      <c r="DJ93" s="1"/>
      <c r="DK93" s="1"/>
      <c r="DL93" s="1"/>
      <c r="DO93" s="97"/>
      <c r="DP93" s="97"/>
      <c r="DQ93" s="97"/>
      <c r="DR93" s="97"/>
      <c r="DS93" s="97"/>
      <c r="DT93" s="97"/>
    </row>
    <row r="94" spans="2:124" x14ac:dyDescent="0.35">
      <c r="B94" s="2"/>
      <c r="C94" s="2"/>
      <c r="D94" s="2"/>
      <c r="E94" s="2"/>
      <c r="F94" s="2"/>
      <c r="G94" s="2"/>
      <c r="I94" s="158">
        <f t="shared" si="179"/>
        <v>2049</v>
      </c>
      <c r="J94" s="79">
        <f t="shared" si="193"/>
        <v>525.73930707246723</v>
      </c>
      <c r="K94" s="79">
        <f t="shared" si="194"/>
        <v>12.580135437337521</v>
      </c>
      <c r="L94" s="79">
        <f t="shared" si="195"/>
        <v>0.51201282008276505</v>
      </c>
      <c r="M94" s="79">
        <f t="shared" si="196"/>
        <v>352.24379224545055</v>
      </c>
      <c r="N94" s="79">
        <f t="shared" si="197"/>
        <v>135.68339732193277</v>
      </c>
      <c r="O94" s="79">
        <f t="shared" si="198"/>
        <v>975.28721055605843</v>
      </c>
      <c r="P94" s="79"/>
      <c r="Q94" s="79"/>
      <c r="R94" s="79">
        <f t="shared" si="199"/>
        <v>-38.379286083792408</v>
      </c>
      <c r="S94" s="162"/>
      <c r="T94" s="162">
        <f t="shared" si="200"/>
        <v>560.43235341844343</v>
      </c>
      <c r="U94" s="162">
        <f t="shared" si="201"/>
        <v>10.981421535172039</v>
      </c>
      <c r="V94" s="162">
        <f t="shared" si="202"/>
        <v>0.44774996136885792</v>
      </c>
      <c r="W94" s="162">
        <f t="shared" si="203"/>
        <v>307.47980298481701</v>
      </c>
      <c r="X94" s="162">
        <f t="shared" si="204"/>
        <v>118.65373976274726</v>
      </c>
      <c r="Y94" s="162">
        <f t="shared" si="205"/>
        <v>954.92751619939293</v>
      </c>
      <c r="Z94" s="162"/>
      <c r="AA94" s="162"/>
      <c r="AB94" s="162">
        <f t="shared" si="206"/>
        <v>-31.638379966614824</v>
      </c>
      <c r="AC94" s="173">
        <f t="shared" si="207"/>
        <v>445.03126424742572</v>
      </c>
      <c r="AD94" s="173">
        <f t="shared" si="208"/>
        <v>502.31923683788119</v>
      </c>
      <c r="AE94" s="173">
        <f t="shared" si="209"/>
        <v>13.597498829624652</v>
      </c>
      <c r="AF94" s="178">
        <f t="shared" si="210"/>
        <v>0.55290736653707007</v>
      </c>
      <c r="AG94" s="173">
        <f t="shared" si="211"/>
        <v>380.72996722949068</v>
      </c>
      <c r="AH94" s="173">
        <f t="shared" si="212"/>
        <v>146.52045213232358</v>
      </c>
      <c r="AI94" s="173">
        <f t="shared" si="213"/>
        <v>986.90070258678952</v>
      </c>
      <c r="AJ94" s="173"/>
      <c r="AK94" s="173"/>
      <c r="AL94" s="173">
        <f t="shared" si="214"/>
        <v>-42.668953612905433</v>
      </c>
      <c r="AM94" s="179">
        <f t="shared" si="215"/>
        <v>432.83957758573609</v>
      </c>
      <c r="AN94" s="179">
        <f t="shared" si="216"/>
        <v>478.60665829310796</v>
      </c>
      <c r="AO94" s="179">
        <f t="shared" si="217"/>
        <v>14.614862221911791</v>
      </c>
      <c r="AP94" s="179">
        <f t="shared" si="218"/>
        <v>0.59380191299137486</v>
      </c>
      <c r="AQ94" s="179">
        <f t="shared" si="219"/>
        <v>409.21614221353059</v>
      </c>
      <c r="AR94" s="179">
        <f t="shared" si="220"/>
        <v>157.35750694271439</v>
      </c>
      <c r="AS94" s="179">
        <f t="shared" si="221"/>
        <v>998.22168630733427</v>
      </c>
      <c r="AT94" s="179"/>
      <c r="AU94" s="179"/>
      <c r="AV94" s="179">
        <f t="shared" si="222"/>
        <v>-46.958621142018458</v>
      </c>
      <c r="AW94" s="184">
        <f t="shared" si="223"/>
        <v>428.09836610619016</v>
      </c>
      <c r="AX94" s="184">
        <f t="shared" si="224"/>
        <v>448.88784411593213</v>
      </c>
      <c r="AY94" s="184">
        <f t="shared" si="225"/>
        <v>15.704894427933725</v>
      </c>
      <c r="AZ94" s="184">
        <f t="shared" si="226"/>
        <v>0.6376174984781301</v>
      </c>
      <c r="BA94" s="184">
        <f t="shared" si="227"/>
        <v>439.73704398214386</v>
      </c>
      <c r="BB94" s="184">
        <f t="shared" si="228"/>
        <v>168.96863709670438</v>
      </c>
      <c r="BC94" s="184">
        <f t="shared" si="229"/>
        <v>1001.6243958845487</v>
      </c>
      <c r="BD94" s="184"/>
      <c r="BE94" s="184"/>
      <c r="BF94" s="184">
        <f t="shared" si="230"/>
        <v>-51.554693494639515</v>
      </c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190">
        <f t="shared" si="231"/>
        <v>480</v>
      </c>
      <c r="BR94" s="190">
        <f t="shared" si="232"/>
        <v>1006.3846904492181</v>
      </c>
      <c r="BS94" s="190">
        <f t="shared" si="233"/>
        <v>15.923671262687416</v>
      </c>
      <c r="BT94" s="190">
        <f t="shared" si="234"/>
        <v>0.59540744917670441</v>
      </c>
      <c r="BU94" s="190">
        <f t="shared" si="235"/>
        <v>445.86279535524773</v>
      </c>
      <c r="BV94" s="190">
        <f t="shared" si="236"/>
        <v>157.78297403182663</v>
      </c>
      <c r="BW94" s="190">
        <f t="shared" si="237"/>
        <v>1561.7873369709075</v>
      </c>
      <c r="BX94" s="190"/>
      <c r="BY94" s="190"/>
      <c r="BZ94" s="190">
        <f t="shared" si="238"/>
        <v>-48.243122865385118</v>
      </c>
      <c r="CA94" s="2">
        <f t="shared" si="239"/>
        <v>426.67865367510063</v>
      </c>
      <c r="CD94" s="97"/>
      <c r="CE94" s="2"/>
      <c r="CF94" s="2"/>
      <c r="CG94" s="2"/>
      <c r="CH94" s="2"/>
      <c r="CI94" s="2"/>
      <c r="CL94" s="2"/>
      <c r="CM94" s="2"/>
      <c r="CN94" s="2"/>
      <c r="CO94" s="2"/>
      <c r="CP94" s="2"/>
      <c r="CQ94" s="2"/>
      <c r="CS94" s="2"/>
      <c r="CT94" s="2"/>
      <c r="CU94" s="2"/>
      <c r="CV94" s="2"/>
      <c r="CW94" s="2"/>
      <c r="CX94" s="2"/>
      <c r="CZ94" s="2"/>
      <c r="DA94" s="2"/>
      <c r="DB94" s="2"/>
      <c r="DC94" s="2"/>
      <c r="DD94" s="2"/>
      <c r="DE94" s="2"/>
      <c r="DG94" s="1"/>
      <c r="DH94" s="1"/>
      <c r="DI94" s="1"/>
      <c r="DJ94" s="1"/>
      <c r="DK94" s="1"/>
      <c r="DL94" s="1"/>
      <c r="DO94" s="97"/>
      <c r="DP94" s="97"/>
      <c r="DQ94" s="97"/>
      <c r="DR94" s="97"/>
      <c r="DS94" s="97"/>
      <c r="DT94" s="97"/>
    </row>
    <row r="95" spans="2:124" x14ac:dyDescent="0.35">
      <c r="B95" s="2"/>
      <c r="C95" s="2"/>
      <c r="D95" s="2"/>
      <c r="E95" s="2"/>
      <c r="F95" s="2"/>
      <c r="G95" s="2"/>
      <c r="I95" s="158">
        <f t="shared" si="179"/>
        <v>2050</v>
      </c>
      <c r="J95" s="79">
        <f t="shared" si="193"/>
        <v>525.73930707246723</v>
      </c>
      <c r="K95" s="79">
        <f t="shared" si="194"/>
        <v>12.952330214341805</v>
      </c>
      <c r="L95" s="79">
        <f t="shared" si="195"/>
        <v>0.52725781952021988</v>
      </c>
      <c r="M95" s="79">
        <f t="shared" si="196"/>
        <v>362.66524600157049</v>
      </c>
      <c r="N95" s="79">
        <f t="shared" si="197"/>
        <v>139.7233221728583</v>
      </c>
      <c r="O95" s="79">
        <f>O47+O94</f>
        <v>985.70866431217837</v>
      </c>
      <c r="P95" s="79"/>
      <c r="Q95" s="79"/>
      <c r="R95" s="79">
        <f t="shared" si="199"/>
        <v>-42.419210934717924</v>
      </c>
      <c r="S95" s="162"/>
      <c r="T95" s="162">
        <f t="shared" si="200"/>
        <v>560.43235341844343</v>
      </c>
      <c r="U95" s="162">
        <f t="shared" si="201"/>
        <v>11.287003232919428</v>
      </c>
      <c r="V95" s="162">
        <f t="shared" si="202"/>
        <v>0.46031734169323324</v>
      </c>
      <c r="W95" s="162">
        <f t="shared" si="203"/>
        <v>316.03609052174392</v>
      </c>
      <c r="X95" s="162">
        <f t="shared" si="204"/>
        <v>121.98409554870672</v>
      </c>
      <c r="Y95" s="162">
        <f t="shared" si="205"/>
        <v>963.48380373631983</v>
      </c>
      <c r="Z95" s="162"/>
      <c r="AA95" s="162"/>
      <c r="AB95" s="162">
        <f t="shared" si="206"/>
        <v>-34.968735752574275</v>
      </c>
      <c r="AC95" s="173">
        <f t="shared" si="207"/>
        <v>445.03126424742572</v>
      </c>
      <c r="AD95" s="173">
        <f t="shared" si="208"/>
        <v>502.31923683788119</v>
      </c>
      <c r="AE95" s="173">
        <f t="shared" si="209"/>
        <v>14.012083747974232</v>
      </c>
      <c r="AF95" s="178">
        <f t="shared" si="210"/>
        <v>0.56985630541012089</v>
      </c>
      <c r="AG95" s="173">
        <f t="shared" si="211"/>
        <v>392.33834494327897</v>
      </c>
      <c r="AH95" s="173">
        <f t="shared" si="212"/>
        <v>151.01192093368206</v>
      </c>
      <c r="AI95" s="173">
        <f t="shared" si="213"/>
        <v>998.50908030057781</v>
      </c>
      <c r="AJ95" s="173"/>
      <c r="AK95" s="173"/>
      <c r="AL95" s="173">
        <f t="shared" si="214"/>
        <v>-47.160422414263898</v>
      </c>
      <c r="AM95" s="179">
        <f t="shared" si="215"/>
        <v>432.83957758573609</v>
      </c>
      <c r="AN95" s="179">
        <f t="shared" si="216"/>
        <v>478.60665829310796</v>
      </c>
      <c r="AO95" s="179">
        <f t="shared" si="217"/>
        <v>15.071837281606669</v>
      </c>
      <c r="AP95" s="179">
        <f t="shared" si="218"/>
        <v>0.61245479130002167</v>
      </c>
      <c r="AQ95" s="179">
        <f t="shared" si="219"/>
        <v>422.01144388498722</v>
      </c>
      <c r="AR95" s="179">
        <f t="shared" si="220"/>
        <v>162.30051969450582</v>
      </c>
      <c r="AS95" s="179">
        <f t="shared" si="221"/>
        <v>1011.0169879787909</v>
      </c>
      <c r="AT95" s="179"/>
      <c r="AU95" s="179"/>
      <c r="AV95" s="179">
        <f t="shared" si="222"/>
        <v>-51.901633893809873</v>
      </c>
      <c r="AW95" s="184">
        <f t="shared" si="223"/>
        <v>428.09836610619016</v>
      </c>
      <c r="AX95" s="184">
        <f t="shared" si="224"/>
        <v>448.88784411593213</v>
      </c>
      <c r="AY95" s="184">
        <f t="shared" si="225"/>
        <v>16.207287496212849</v>
      </c>
      <c r="AZ95" s="184">
        <f t="shared" si="226"/>
        <v>0.65809602618205842</v>
      </c>
      <c r="BA95" s="184">
        <f t="shared" si="227"/>
        <v>453.80404989395936</v>
      </c>
      <c r="BB95" s="184">
        <f t="shared" si="228"/>
        <v>174.39544693824539</v>
      </c>
      <c r="BC95" s="184">
        <f t="shared" si="229"/>
        <v>1015.6914017963642</v>
      </c>
      <c r="BD95" s="184"/>
      <c r="BE95" s="184"/>
      <c r="BF95" s="184">
        <f t="shared" si="230"/>
        <v>-56.981503336180516</v>
      </c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190">
        <f t="shared" si="231"/>
        <v>480</v>
      </c>
      <c r="BR95" s="190">
        <f t="shared" si="232"/>
        <v>1006.3846904492181</v>
      </c>
      <c r="BS95" s="190">
        <f t="shared" si="233"/>
        <v>16.443232648870669</v>
      </c>
      <c r="BT95" s="190">
        <f t="shared" si="234"/>
        <v>0.61457055657109771</v>
      </c>
      <c r="BU95" s="190">
        <f t="shared" si="235"/>
        <v>460.41051416837888</v>
      </c>
      <c r="BV95" s="190">
        <f t="shared" si="236"/>
        <v>162.86119749134085</v>
      </c>
      <c r="BW95" s="190">
        <f t="shared" si="237"/>
        <v>1576.3350557840386</v>
      </c>
      <c r="BX95" s="190"/>
      <c r="BY95" s="190"/>
      <c r="BZ95" s="190">
        <f t="shared" si="238"/>
        <v>-53.321346324899345</v>
      </c>
      <c r="CA95" s="2">
        <f t="shared" si="239"/>
        <v>426.67865367510063</v>
      </c>
      <c r="CD95" s="2"/>
      <c r="CE95" s="2"/>
      <c r="CF95" s="2"/>
      <c r="CG95" s="2"/>
      <c r="CH95" s="2"/>
      <c r="CI95" s="2"/>
      <c r="CL95" s="2"/>
      <c r="CM95" s="2"/>
      <c r="CN95" s="2"/>
      <c r="CO95" s="2"/>
      <c r="CP95" s="2"/>
      <c r="CQ95" s="2"/>
      <c r="CS95" s="2"/>
      <c r="CT95" s="2"/>
      <c r="CU95" s="2"/>
      <c r="CV95" s="2"/>
      <c r="CW95" s="2"/>
      <c r="CX95" s="2"/>
      <c r="CZ95" s="2"/>
      <c r="DA95" s="2"/>
      <c r="DB95" s="2"/>
      <c r="DC95" s="2"/>
      <c r="DD95" s="2"/>
      <c r="DE95" s="2"/>
      <c r="DG95" s="1"/>
      <c r="DH95" s="1"/>
      <c r="DI95" s="1"/>
      <c r="DJ95" s="1"/>
      <c r="DK95" s="1"/>
      <c r="DL95" s="1"/>
      <c r="DO95" s="97"/>
      <c r="DP95" s="97"/>
      <c r="DQ95" s="97"/>
      <c r="DR95" s="97"/>
      <c r="DS95" s="97"/>
      <c r="DT95" s="97"/>
    </row>
    <row r="96" spans="2:124" x14ac:dyDescent="0.35">
      <c r="CD96" s="2"/>
      <c r="CE96" s="2"/>
      <c r="CF96" s="2"/>
      <c r="CG96" s="2"/>
      <c r="CH96" s="2"/>
      <c r="CI96" s="2"/>
      <c r="CL96" s="2"/>
      <c r="CM96" s="2"/>
      <c r="CN96" s="2"/>
      <c r="CO96" s="2"/>
      <c r="CP96" s="2"/>
      <c r="CQ96" s="2"/>
      <c r="CS96" s="2"/>
      <c r="CT96" s="2"/>
      <c r="CU96" s="2"/>
      <c r="CV96" s="2"/>
      <c r="CW96" s="2"/>
      <c r="CX96" s="2"/>
      <c r="CZ96" s="2"/>
      <c r="DA96" s="2"/>
      <c r="DB96" s="2"/>
      <c r="DC96" s="2"/>
      <c r="DD96" s="2"/>
      <c r="DE96" s="2"/>
      <c r="DG96" s="1"/>
      <c r="DH96" s="1"/>
      <c r="DI96" s="1"/>
      <c r="DJ96" s="1"/>
      <c r="DK96" s="1"/>
      <c r="DL96" s="1"/>
      <c r="DO96" s="97"/>
      <c r="DP96" s="97"/>
      <c r="DQ96" s="97"/>
      <c r="DR96" s="97"/>
      <c r="DS96" s="97"/>
      <c r="DT96" s="97"/>
    </row>
    <row r="97" spans="82:124" x14ac:dyDescent="0.35">
      <c r="CD97" s="2"/>
      <c r="CE97" s="2"/>
      <c r="CF97" s="2"/>
      <c r="CG97" s="2"/>
      <c r="CH97" s="2"/>
      <c r="CI97" s="2"/>
      <c r="CL97" s="2"/>
      <c r="CM97" s="2"/>
      <c r="CN97" s="2"/>
      <c r="CO97" s="2"/>
      <c r="CP97" s="2"/>
      <c r="CQ97" s="2"/>
      <c r="CS97" s="2"/>
      <c r="CT97" s="2"/>
      <c r="CU97" s="2"/>
      <c r="CV97" s="2"/>
      <c r="CW97" s="2"/>
      <c r="CX97" s="2"/>
      <c r="CZ97" s="2"/>
      <c r="DA97" s="2"/>
      <c r="DB97" s="2"/>
      <c r="DC97" s="2"/>
      <c r="DD97" s="2"/>
      <c r="DE97" s="2"/>
      <c r="DG97" s="1"/>
      <c r="DH97" s="1"/>
      <c r="DI97" s="1"/>
      <c r="DJ97" s="1"/>
      <c r="DK97" s="1"/>
      <c r="DL97" s="1"/>
      <c r="DO97" s="97"/>
      <c r="DP97" s="97"/>
      <c r="DQ97" s="97"/>
      <c r="DR97" s="97"/>
      <c r="DS97" s="97"/>
      <c r="DT97" s="97"/>
    </row>
    <row r="98" spans="82:124" x14ac:dyDescent="0.35">
      <c r="CD98" s="2"/>
      <c r="CE98" s="2"/>
      <c r="CF98" s="2"/>
      <c r="CG98" s="2"/>
      <c r="CH98" s="2"/>
      <c r="CI98" s="2"/>
      <c r="CL98" s="2"/>
      <c r="CM98" s="2"/>
      <c r="CN98" s="2"/>
      <c r="CO98" s="2"/>
      <c r="CP98" s="2"/>
      <c r="CQ98" s="2"/>
      <c r="CS98" s="2"/>
      <c r="CT98" s="2"/>
      <c r="CU98" s="2"/>
      <c r="CV98" s="2"/>
      <c r="CW98" s="2"/>
      <c r="CX98" s="2"/>
      <c r="CZ98" s="2"/>
      <c r="DA98" s="2"/>
      <c r="DB98" s="2"/>
      <c r="DC98" s="2"/>
      <c r="DD98" s="2"/>
      <c r="DE98" s="2"/>
      <c r="DG98" s="1"/>
      <c r="DH98" s="1"/>
      <c r="DI98" s="1"/>
      <c r="DJ98" s="1"/>
      <c r="DK98" s="1"/>
      <c r="DL98" s="1"/>
      <c r="DO98" s="97"/>
      <c r="DP98" s="97"/>
      <c r="DQ98" s="97"/>
      <c r="DR98" s="97"/>
      <c r="DS98" s="97"/>
      <c r="DT98" s="97"/>
    </row>
    <row r="99" spans="82:124" x14ac:dyDescent="0.35">
      <c r="CD99" s="2"/>
      <c r="CE99" s="2"/>
      <c r="CF99" s="2"/>
      <c r="CG99" s="2"/>
      <c r="CH99" s="2"/>
      <c r="CI99" s="2"/>
      <c r="CL99" s="2"/>
      <c r="CM99" s="2"/>
      <c r="CN99" s="2"/>
      <c r="CO99" s="2"/>
      <c r="CP99" s="2"/>
      <c r="CQ99" s="2"/>
      <c r="CS99" s="2"/>
      <c r="CT99" s="2"/>
      <c r="CU99" s="2"/>
      <c r="CV99" s="2"/>
      <c r="CW99" s="2"/>
      <c r="CX99" s="2"/>
      <c r="CZ99" s="2"/>
      <c r="DA99" s="2"/>
      <c r="DB99" s="2"/>
      <c r="DC99" s="2"/>
      <c r="DD99" s="2"/>
      <c r="DE99" s="2"/>
      <c r="DG99" s="1"/>
      <c r="DH99" s="1"/>
      <c r="DI99" s="1"/>
      <c r="DJ99" s="1"/>
      <c r="DK99" s="1"/>
      <c r="DL99" s="1"/>
      <c r="DO99" s="97"/>
      <c r="DP99" s="97"/>
      <c r="DQ99" s="97"/>
      <c r="DR99" s="97"/>
      <c r="DS99" s="97"/>
      <c r="DT99" s="97"/>
    </row>
    <row r="100" spans="82:124" x14ac:dyDescent="0.35">
      <c r="CD100" s="2"/>
      <c r="CE100" s="2"/>
      <c r="CF100" s="2"/>
      <c r="CG100" s="2"/>
      <c r="CH100" s="2"/>
      <c r="CI100" s="2"/>
      <c r="CL100" s="2"/>
      <c r="CM100" s="2"/>
      <c r="CN100" s="2"/>
      <c r="CO100" s="2"/>
      <c r="CP100" s="2"/>
      <c r="CQ100" s="2"/>
      <c r="CS100" s="2"/>
      <c r="CT100" s="2"/>
      <c r="CU100" s="2"/>
      <c r="CV100" s="2"/>
      <c r="CW100" s="2"/>
      <c r="CX100" s="2"/>
      <c r="CZ100" s="2"/>
      <c r="DA100" s="2"/>
      <c r="DB100" s="2"/>
      <c r="DC100" s="2"/>
      <c r="DD100" s="2"/>
      <c r="DE100" s="2"/>
      <c r="DG100" s="1"/>
      <c r="DH100" s="1"/>
      <c r="DI100" s="1"/>
      <c r="DJ100" s="1"/>
      <c r="DK100" s="1"/>
      <c r="DL100" s="1"/>
      <c r="DO100" s="97"/>
      <c r="DP100" s="97"/>
      <c r="DQ100" s="97"/>
      <c r="DR100" s="97"/>
      <c r="DS100" s="97"/>
      <c r="DT100" s="97"/>
    </row>
    <row r="101" spans="82:124" x14ac:dyDescent="0.35">
      <c r="CD101" s="2"/>
      <c r="CE101" s="2"/>
      <c r="CF101" s="2"/>
      <c r="CG101" s="2"/>
      <c r="CH101" s="2"/>
      <c r="CI101" s="2"/>
      <c r="CL101" s="2"/>
      <c r="CM101" s="2"/>
      <c r="CN101" s="2"/>
      <c r="CO101" s="2"/>
      <c r="CP101" s="2"/>
      <c r="CQ101" s="2"/>
      <c r="CS101" s="2"/>
      <c r="CT101" s="2"/>
      <c r="CU101" s="2"/>
      <c r="CV101" s="2"/>
      <c r="CW101" s="2"/>
      <c r="CX101" s="2"/>
      <c r="CZ101" s="2"/>
      <c r="DA101" s="2"/>
      <c r="DB101" s="2"/>
      <c r="DC101" s="2"/>
      <c r="DD101" s="2"/>
      <c r="DE101" s="2"/>
      <c r="DG101" s="1"/>
      <c r="DH101" s="1"/>
      <c r="DI101" s="1"/>
      <c r="DJ101" s="1"/>
      <c r="DK101" s="1"/>
      <c r="DL101" s="1"/>
      <c r="DO101" s="97"/>
      <c r="DP101" s="97"/>
      <c r="DQ101" s="97"/>
      <c r="DR101" s="97"/>
      <c r="DS101" s="97"/>
      <c r="DT101" s="97"/>
    </row>
    <row r="102" spans="82:124" x14ac:dyDescent="0.35">
      <c r="CD102" s="2"/>
      <c r="CE102" s="2"/>
      <c r="CF102" s="2"/>
      <c r="CG102" s="2"/>
      <c r="CH102" s="2"/>
      <c r="CI102" s="2"/>
      <c r="CL102" s="2"/>
      <c r="CM102" s="2"/>
      <c r="CN102" s="2"/>
      <c r="CO102" s="2"/>
      <c r="CP102" s="2"/>
      <c r="CQ102" s="2"/>
      <c r="CS102" s="2"/>
      <c r="CT102" s="2"/>
      <c r="CU102" s="2"/>
      <c r="CV102" s="2"/>
      <c r="CW102" s="2"/>
      <c r="CX102" s="2"/>
      <c r="CZ102" s="2"/>
      <c r="DA102" s="2"/>
      <c r="DB102" s="2"/>
      <c r="DC102" s="2"/>
      <c r="DD102" s="2"/>
      <c r="DE102" s="2"/>
      <c r="DG102" s="1"/>
      <c r="DH102" s="1"/>
      <c r="DI102" s="1"/>
      <c r="DJ102" s="1"/>
      <c r="DK102" s="1"/>
      <c r="DL102" s="1"/>
      <c r="DO102" s="97"/>
      <c r="DP102" s="97"/>
      <c r="DQ102" s="97"/>
      <c r="DR102" s="97"/>
      <c r="DS102" s="97"/>
      <c r="DT102" s="97"/>
    </row>
    <row r="103" spans="82:124" x14ac:dyDescent="0.35">
      <c r="CD103" s="2"/>
      <c r="CE103" s="2"/>
      <c r="CF103" s="2"/>
      <c r="CG103" s="2"/>
      <c r="CH103" s="2"/>
      <c r="CI103" s="2"/>
      <c r="CL103" s="2"/>
      <c r="CM103" s="2"/>
      <c r="CN103" s="2"/>
      <c r="CO103" s="2"/>
      <c r="CP103" s="2"/>
      <c r="CQ103" s="2"/>
      <c r="CS103" s="2"/>
      <c r="CT103" s="2"/>
      <c r="CU103" s="2"/>
      <c r="CV103" s="2"/>
      <c r="CW103" s="2"/>
      <c r="CX103" s="2"/>
      <c r="CZ103" s="2"/>
      <c r="DA103" s="2"/>
      <c r="DB103" s="2"/>
      <c r="DC103" s="2"/>
      <c r="DD103" s="2"/>
      <c r="DE103" s="2"/>
      <c r="DG103" s="1"/>
      <c r="DH103" s="1"/>
      <c r="DI103" s="1"/>
      <c r="DJ103" s="1"/>
      <c r="DK103" s="1"/>
      <c r="DL103" s="1"/>
      <c r="DO103" s="97"/>
      <c r="DP103" s="97"/>
      <c r="DQ103" s="97"/>
      <c r="DR103" s="97"/>
      <c r="DS103" s="97"/>
      <c r="DT103" s="97"/>
    </row>
    <row r="104" spans="82:124" x14ac:dyDescent="0.35">
      <c r="CD104" s="2"/>
      <c r="CE104" s="2"/>
      <c r="CF104" s="2"/>
      <c r="CG104" s="2"/>
      <c r="CH104" s="2"/>
      <c r="CI104" s="2"/>
      <c r="CL104" s="2"/>
      <c r="CM104" s="2"/>
      <c r="CN104" s="2"/>
      <c r="CO104" s="2"/>
      <c r="CP104" s="2"/>
      <c r="CQ104" s="2"/>
      <c r="CS104" s="2"/>
      <c r="CT104" s="2"/>
      <c r="CU104" s="2"/>
      <c r="CV104" s="2"/>
      <c r="CW104" s="2"/>
      <c r="CX104" s="2"/>
      <c r="CZ104" s="2"/>
      <c r="DA104" s="2"/>
      <c r="DB104" s="2"/>
      <c r="DC104" s="2"/>
      <c r="DD104" s="2"/>
      <c r="DE104" s="2"/>
      <c r="DG104" s="1"/>
      <c r="DH104" s="1"/>
      <c r="DI104" s="1"/>
      <c r="DJ104" s="1"/>
      <c r="DK104" s="1"/>
      <c r="DL104" s="1"/>
      <c r="DO104" s="97"/>
      <c r="DP104" s="97"/>
      <c r="DQ104" s="97"/>
      <c r="DR104" s="97"/>
      <c r="DS104" s="97"/>
      <c r="DT104" s="97"/>
    </row>
    <row r="105" spans="82:124" x14ac:dyDescent="0.35">
      <c r="CD105" s="2"/>
      <c r="CE105" s="2"/>
      <c r="CF105" s="2"/>
      <c r="CG105" s="2"/>
      <c r="CH105" s="2"/>
      <c r="CI105" s="2"/>
      <c r="CL105" s="2"/>
      <c r="CM105" s="2"/>
      <c r="CN105" s="2"/>
      <c r="CO105" s="2"/>
      <c r="CP105" s="2"/>
      <c r="CQ105" s="2"/>
      <c r="CS105" s="2"/>
      <c r="CT105" s="2"/>
      <c r="CU105" s="2"/>
      <c r="CV105" s="2"/>
      <c r="CW105" s="2"/>
      <c r="CX105" s="2"/>
      <c r="CZ105" s="2"/>
      <c r="DA105" s="2"/>
      <c r="DB105" s="2"/>
      <c r="DC105" s="2"/>
      <c r="DD105" s="2"/>
      <c r="DE105" s="2"/>
      <c r="DG105" s="1"/>
      <c r="DH105" s="1"/>
      <c r="DI105" s="1"/>
      <c r="DJ105" s="1"/>
      <c r="DK105" s="1"/>
      <c r="DL105" s="1"/>
      <c r="DO105" s="97"/>
      <c r="DP105" s="97"/>
      <c r="DQ105" s="97"/>
      <c r="DR105" s="97"/>
      <c r="DS105" s="97"/>
      <c r="DT105" s="97"/>
    </row>
    <row r="106" spans="82:124" x14ac:dyDescent="0.35">
      <c r="CD106" s="2"/>
      <c r="CE106" s="2"/>
      <c r="CF106" s="2"/>
      <c r="CG106" s="2"/>
      <c r="CH106" s="2"/>
      <c r="CI106" s="2"/>
      <c r="CL106" s="2"/>
      <c r="CM106" s="2"/>
      <c r="CN106" s="2"/>
      <c r="CO106" s="2"/>
      <c r="CP106" s="2"/>
      <c r="CQ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G106" s="1"/>
      <c r="DH106" s="1"/>
      <c r="DI106" s="1"/>
      <c r="DJ106" s="1"/>
      <c r="DK106" s="1"/>
      <c r="DL106" s="1"/>
      <c r="DO106" s="97"/>
      <c r="DP106" s="97"/>
      <c r="DQ106" s="97"/>
      <c r="DR106" s="97"/>
      <c r="DS106" s="97"/>
      <c r="DT106" s="97"/>
    </row>
    <row r="107" spans="82:124" x14ac:dyDescent="0.35">
      <c r="CD107" s="2"/>
      <c r="CE107" s="2"/>
      <c r="CF107" s="2"/>
      <c r="CG107" s="2"/>
      <c r="CH107" s="2"/>
      <c r="CI107" s="2"/>
      <c r="CL107" s="2"/>
      <c r="CM107" s="2"/>
      <c r="CN107" s="2"/>
      <c r="CO107" s="2"/>
      <c r="CP107" s="2"/>
      <c r="CQ107" s="2"/>
      <c r="CS107" s="2"/>
      <c r="CT107" s="2"/>
      <c r="CU107" s="2"/>
      <c r="CV107" s="2"/>
      <c r="CW107" s="2"/>
      <c r="CX107" s="2"/>
      <c r="CZ107" s="2"/>
      <c r="DA107" s="2"/>
      <c r="DB107" s="2"/>
      <c r="DC107" s="2"/>
      <c r="DD107" s="2"/>
      <c r="DE107" s="2"/>
      <c r="DG107" s="1"/>
      <c r="DH107" s="1"/>
      <c r="DI107" s="1"/>
      <c r="DJ107" s="1"/>
      <c r="DK107" s="1"/>
      <c r="DL107" s="1"/>
      <c r="DO107" s="97"/>
      <c r="DP107" s="97"/>
      <c r="DQ107" s="97"/>
      <c r="DR107" s="97"/>
      <c r="DS107" s="97"/>
      <c r="DT107" s="97"/>
    </row>
    <row r="108" spans="82:124" x14ac:dyDescent="0.35">
      <c r="CD108" s="2"/>
      <c r="CE108" s="2"/>
      <c r="CF108" s="2"/>
      <c r="CG108" s="2"/>
      <c r="CH108" s="2"/>
      <c r="CI108" s="2"/>
      <c r="CL108" s="2"/>
      <c r="CM108" s="2"/>
      <c r="CN108" s="2"/>
      <c r="CO108" s="2"/>
      <c r="CP108" s="2"/>
      <c r="CQ108" s="2"/>
      <c r="CS108" s="2"/>
      <c r="CT108" s="2"/>
      <c r="CU108" s="2"/>
      <c r="CV108" s="2"/>
      <c r="CW108" s="2"/>
      <c r="CX108" s="2"/>
      <c r="CZ108" s="2"/>
      <c r="DA108" s="2"/>
      <c r="DB108" s="2"/>
      <c r="DC108" s="2"/>
      <c r="DD108" s="2"/>
      <c r="DE108" s="2"/>
      <c r="DG108" s="1"/>
      <c r="DH108" s="1"/>
      <c r="DI108" s="1"/>
      <c r="DJ108" s="1"/>
      <c r="DK108" s="1"/>
      <c r="DL108" s="1"/>
      <c r="DO108" s="97"/>
      <c r="DP108" s="97"/>
      <c r="DQ108" s="97"/>
      <c r="DR108" s="97"/>
      <c r="DS108" s="97"/>
      <c r="DT108" s="97"/>
    </row>
    <row r="109" spans="82:124" x14ac:dyDescent="0.35">
      <c r="CD109" s="2"/>
      <c r="CE109" s="2"/>
      <c r="CF109" s="2"/>
      <c r="CG109" s="2"/>
      <c r="CH109" s="2"/>
      <c r="CI109" s="2"/>
      <c r="CL109" s="2"/>
      <c r="CM109" s="2"/>
      <c r="CN109" s="2"/>
      <c r="CO109" s="2"/>
      <c r="CP109" s="2"/>
      <c r="CQ109" s="2"/>
      <c r="CS109" s="2"/>
      <c r="CT109" s="2"/>
      <c r="CU109" s="2"/>
      <c r="CV109" s="2"/>
      <c r="CW109" s="2"/>
      <c r="CX109" s="2"/>
      <c r="CZ109" s="2"/>
      <c r="DA109" s="2"/>
      <c r="DB109" s="2"/>
      <c r="DC109" s="2"/>
      <c r="DD109" s="2"/>
      <c r="DE109" s="2"/>
      <c r="DG109" s="1"/>
      <c r="DH109" s="1"/>
      <c r="DI109" s="1"/>
      <c r="DJ109" s="1"/>
      <c r="DK109" s="1"/>
      <c r="DL109" s="1"/>
      <c r="DO109" s="97"/>
      <c r="DP109" s="97"/>
      <c r="DQ109" s="97"/>
      <c r="DR109" s="97"/>
      <c r="DS109" s="97"/>
      <c r="DT109" s="97"/>
    </row>
    <row r="110" spans="82:124" x14ac:dyDescent="0.35">
      <c r="CD110" s="2"/>
      <c r="CE110" s="2"/>
      <c r="CF110" s="2"/>
      <c r="CG110" s="2"/>
      <c r="CH110" s="2"/>
      <c r="CI110" s="2"/>
      <c r="CL110" s="2"/>
      <c r="CM110" s="2"/>
      <c r="CN110" s="2"/>
      <c r="CO110" s="2"/>
      <c r="CP110" s="2"/>
      <c r="CQ110" s="2"/>
      <c r="CS110" s="2"/>
      <c r="CT110" s="2"/>
      <c r="CU110" s="2"/>
      <c r="CV110" s="2"/>
      <c r="CW110" s="2"/>
      <c r="CX110" s="2"/>
      <c r="CZ110" s="2"/>
      <c r="DA110" s="2"/>
      <c r="DB110" s="2"/>
      <c r="DC110" s="2"/>
      <c r="DD110" s="2"/>
      <c r="DE110" s="2"/>
      <c r="DG110" s="1"/>
      <c r="DH110" s="1"/>
      <c r="DI110" s="1"/>
      <c r="DJ110" s="1"/>
      <c r="DK110" s="1"/>
      <c r="DL110" s="1"/>
      <c r="DO110" s="97"/>
      <c r="DP110" s="97"/>
      <c r="DQ110" s="97"/>
      <c r="DR110" s="97"/>
      <c r="DS110" s="97"/>
      <c r="DT110" s="97"/>
    </row>
    <row r="111" spans="82:124" x14ac:dyDescent="0.35">
      <c r="CD111" s="2"/>
      <c r="CE111" s="2"/>
      <c r="CF111" s="2"/>
      <c r="CG111" s="2"/>
      <c r="CH111" s="2"/>
      <c r="CI111" s="2"/>
      <c r="CL111" s="2"/>
      <c r="CM111" s="2"/>
      <c r="CN111" s="2"/>
      <c r="CO111" s="2"/>
      <c r="CP111" s="2"/>
      <c r="CQ111" s="2"/>
      <c r="CS111" s="2"/>
      <c r="CT111" s="2"/>
      <c r="CU111" s="2"/>
      <c r="CV111" s="2"/>
      <c r="CW111" s="2"/>
      <c r="CX111" s="2"/>
      <c r="CZ111" s="2"/>
      <c r="DA111" s="2"/>
      <c r="DB111" s="2"/>
      <c r="DC111" s="2"/>
      <c r="DD111" s="2"/>
      <c r="DE111" s="2"/>
      <c r="DG111" s="1"/>
      <c r="DH111" s="1"/>
      <c r="DI111" s="1"/>
      <c r="DJ111" s="1"/>
      <c r="DK111" s="1"/>
      <c r="DL111" s="1"/>
      <c r="DO111" s="97"/>
      <c r="DP111" s="97"/>
      <c r="DQ111" s="97"/>
      <c r="DR111" s="97"/>
      <c r="DS111" s="97"/>
      <c r="DT111" s="97"/>
    </row>
    <row r="112" spans="82:124" x14ac:dyDescent="0.35">
      <c r="CD112" s="2"/>
      <c r="CE112" s="2"/>
      <c r="CF112" s="2"/>
      <c r="CG112" s="2"/>
      <c r="CH112" s="2"/>
      <c r="CI112" s="2"/>
      <c r="CL112" s="2"/>
      <c r="CM112" s="2"/>
      <c r="CN112" s="2"/>
      <c r="CO112" s="2"/>
      <c r="CP112" s="2"/>
      <c r="CQ112" s="2"/>
      <c r="CS112" s="2"/>
      <c r="CT112" s="2"/>
      <c r="CU112" s="2"/>
      <c r="CV112" s="2"/>
      <c r="CW112" s="2"/>
      <c r="CX112" s="2"/>
      <c r="CZ112" s="2"/>
      <c r="DA112" s="2"/>
      <c r="DB112" s="2"/>
      <c r="DC112" s="2"/>
      <c r="DD112" s="2"/>
      <c r="DE112" s="2"/>
      <c r="DG112" s="1"/>
      <c r="DH112" s="1"/>
      <c r="DI112" s="1"/>
      <c r="DJ112" s="1"/>
      <c r="DK112" s="1"/>
      <c r="DL112" s="1"/>
      <c r="DO112" s="97"/>
      <c r="DP112" s="97"/>
      <c r="DQ112" s="97"/>
      <c r="DR112" s="97"/>
      <c r="DS112" s="97"/>
      <c r="DT112" s="97"/>
    </row>
    <row r="113" spans="82:124" x14ac:dyDescent="0.35">
      <c r="CD113" s="2"/>
      <c r="CE113" s="2"/>
      <c r="CF113" s="2"/>
      <c r="CG113" s="2"/>
      <c r="CH113" s="2"/>
      <c r="CI113" s="2"/>
      <c r="CL113" s="2"/>
      <c r="CM113" s="2"/>
      <c r="CN113" s="2"/>
      <c r="CO113" s="2"/>
      <c r="CP113" s="2"/>
      <c r="CQ113" s="2"/>
      <c r="CS113" s="2"/>
      <c r="CT113" s="2"/>
      <c r="CU113" s="2"/>
      <c r="CV113" s="2"/>
      <c r="CW113" s="2"/>
      <c r="CX113" s="2"/>
      <c r="CZ113" s="2"/>
      <c r="DA113" s="2"/>
      <c r="DB113" s="2"/>
      <c r="DC113" s="2"/>
      <c r="DD113" s="2"/>
      <c r="DE113" s="2"/>
      <c r="DG113" s="1"/>
      <c r="DH113" s="1"/>
      <c r="DI113" s="1"/>
      <c r="DJ113" s="1"/>
      <c r="DK113" s="1"/>
      <c r="DL113" s="1"/>
      <c r="DO113" s="97"/>
      <c r="DP113" s="97"/>
      <c r="DQ113" s="97"/>
      <c r="DR113" s="97"/>
      <c r="DS113" s="97"/>
      <c r="DT113" s="97"/>
    </row>
    <row r="114" spans="82:124" x14ac:dyDescent="0.35">
      <c r="CD114" s="2"/>
      <c r="CE114" s="2"/>
      <c r="CF114" s="2"/>
      <c r="CG114" s="2"/>
      <c r="CH114" s="2"/>
      <c r="CI114" s="2"/>
      <c r="CL114" s="2"/>
      <c r="CM114" s="2"/>
      <c r="CN114" s="2"/>
      <c r="CO114" s="2"/>
      <c r="CP114" s="2"/>
      <c r="CQ114" s="2"/>
      <c r="CS114" s="2"/>
      <c r="CT114" s="2"/>
      <c r="CU114" s="2"/>
      <c r="CV114" s="2"/>
      <c r="CW114" s="2"/>
      <c r="CX114" s="2"/>
      <c r="CZ114" s="2"/>
      <c r="DA114" s="2"/>
      <c r="DB114" s="2"/>
      <c r="DC114" s="2"/>
      <c r="DD114" s="2"/>
      <c r="DE114" s="2"/>
      <c r="DG114" s="1"/>
      <c r="DH114" s="1"/>
      <c r="DI114" s="1"/>
      <c r="DJ114" s="1"/>
      <c r="DK114" s="1"/>
      <c r="DL114" s="1"/>
      <c r="DO114" s="97"/>
      <c r="DP114" s="97"/>
      <c r="DQ114" s="97"/>
      <c r="DR114" s="97"/>
      <c r="DS114" s="97"/>
      <c r="DT114" s="97"/>
    </row>
    <row r="115" spans="82:124" x14ac:dyDescent="0.35">
      <c r="CD115" s="2"/>
      <c r="CE115" s="2"/>
      <c r="CF115" s="2"/>
      <c r="CG115" s="2"/>
      <c r="CH115" s="2"/>
      <c r="CI115" s="2"/>
      <c r="CL115" s="2"/>
      <c r="CM115" s="2"/>
      <c r="CN115" s="2"/>
      <c r="CO115" s="2"/>
      <c r="CP115" s="2"/>
      <c r="CQ115" s="2"/>
      <c r="CS115" s="2"/>
      <c r="CT115" s="2"/>
      <c r="CU115" s="2"/>
      <c r="CV115" s="2"/>
      <c r="CW115" s="2"/>
      <c r="CX115" s="2"/>
      <c r="CZ115" s="2"/>
      <c r="DA115" s="2"/>
      <c r="DB115" s="2"/>
      <c r="DC115" s="2"/>
      <c r="DD115" s="2"/>
      <c r="DE115" s="2"/>
      <c r="DG115" s="1"/>
      <c r="DH115" s="1"/>
      <c r="DI115" s="1"/>
      <c r="DJ115" s="1"/>
      <c r="DK115" s="1"/>
      <c r="DL115" s="1"/>
      <c r="DO115" s="97"/>
      <c r="DP115" s="97"/>
      <c r="DQ115" s="97"/>
      <c r="DR115" s="97"/>
      <c r="DS115" s="97"/>
      <c r="DT115" s="97"/>
    </row>
    <row r="116" spans="82:124" x14ac:dyDescent="0.35">
      <c r="CD116" s="2"/>
      <c r="CE116" s="2"/>
      <c r="CF116" s="2"/>
      <c r="CG116" s="2"/>
      <c r="CH116" s="2"/>
      <c r="CI116" s="2"/>
      <c r="CL116" s="2"/>
      <c r="CM116" s="2"/>
      <c r="CN116" s="2"/>
      <c r="CO116" s="2"/>
      <c r="CP116" s="2"/>
      <c r="CQ116" s="2"/>
      <c r="CS116" s="2"/>
      <c r="CT116" s="2"/>
      <c r="CU116" s="2"/>
      <c r="CV116" s="2"/>
      <c r="CW116" s="2"/>
      <c r="CX116" s="2"/>
      <c r="CZ116" s="2"/>
      <c r="DA116" s="2"/>
      <c r="DB116" s="2"/>
      <c r="DC116" s="2"/>
      <c r="DD116" s="2"/>
      <c r="DE116" s="2"/>
      <c r="DG116" s="1"/>
      <c r="DH116" s="1"/>
      <c r="DI116" s="1"/>
      <c r="DJ116" s="1"/>
      <c r="DK116" s="1"/>
      <c r="DL116" s="1"/>
      <c r="DO116" s="97"/>
      <c r="DP116" s="97"/>
      <c r="DQ116" s="97"/>
      <c r="DR116" s="97"/>
      <c r="DS116" s="97"/>
      <c r="DT116" s="97"/>
    </row>
    <row r="117" spans="82:124" x14ac:dyDescent="0.35">
      <c r="CD117" s="2"/>
      <c r="CE117" s="2"/>
      <c r="CF117" s="2"/>
      <c r="CG117" s="2"/>
      <c r="CH117" s="2"/>
      <c r="CI117" s="2"/>
      <c r="CL117" s="2"/>
      <c r="CM117" s="2"/>
      <c r="CN117" s="2"/>
      <c r="CO117" s="2"/>
      <c r="CP117" s="2"/>
      <c r="CQ117" s="2"/>
      <c r="CS117" s="2"/>
      <c r="CT117" s="2"/>
      <c r="CU117" s="2"/>
      <c r="CV117" s="2"/>
      <c r="CW117" s="2"/>
      <c r="CX117" s="2"/>
      <c r="CZ117" s="2"/>
      <c r="DA117" s="2"/>
      <c r="DB117" s="2"/>
      <c r="DC117" s="2"/>
      <c r="DD117" s="2"/>
      <c r="DE117" s="2"/>
      <c r="DG117" s="1"/>
      <c r="DH117" s="1"/>
      <c r="DI117" s="1"/>
      <c r="DJ117" s="1"/>
      <c r="DK117" s="1"/>
      <c r="DL117" s="1"/>
      <c r="DO117" s="97"/>
      <c r="DP117" s="97"/>
      <c r="DQ117" s="97"/>
      <c r="DR117" s="97"/>
      <c r="DS117" s="97"/>
      <c r="DT117" s="97"/>
    </row>
    <row r="118" spans="82:124" x14ac:dyDescent="0.35">
      <c r="CD118" s="2"/>
      <c r="CE118" s="2"/>
      <c r="CF118" s="2"/>
      <c r="CG118" s="2"/>
      <c r="CH118" s="2"/>
      <c r="CI118" s="2"/>
      <c r="CL118" s="2"/>
      <c r="CM118" s="2"/>
      <c r="CN118" s="2"/>
      <c r="CO118" s="2"/>
      <c r="CP118" s="2"/>
      <c r="CQ118" s="2"/>
      <c r="CS118" s="2"/>
      <c r="CT118" s="2"/>
      <c r="CU118" s="2"/>
      <c r="CV118" s="2"/>
      <c r="CW118" s="2"/>
      <c r="CX118" s="2"/>
      <c r="CZ118" s="2"/>
      <c r="DA118" s="2"/>
      <c r="DB118" s="2"/>
      <c r="DC118" s="2"/>
      <c r="DD118" s="2"/>
      <c r="DE118" s="2"/>
      <c r="DG118" s="1"/>
      <c r="DH118" s="1"/>
      <c r="DI118" s="1"/>
      <c r="DJ118" s="1"/>
      <c r="DK118" s="1"/>
      <c r="DL118" s="1"/>
      <c r="DO118" s="97"/>
      <c r="DP118" s="97"/>
      <c r="DQ118" s="97"/>
      <c r="DR118" s="97"/>
      <c r="DS118" s="97"/>
      <c r="DT118" s="97"/>
    </row>
    <row r="119" spans="82:124" x14ac:dyDescent="0.35">
      <c r="CD119" s="2"/>
      <c r="CE119" s="2"/>
      <c r="CF119" s="2"/>
      <c r="CG119" s="2"/>
      <c r="CH119" s="2"/>
      <c r="CI119" s="2"/>
      <c r="CL119" s="2"/>
      <c r="CM119" s="2"/>
      <c r="CN119" s="2"/>
      <c r="CO119" s="2"/>
      <c r="CP119" s="2"/>
      <c r="CQ119" s="2"/>
      <c r="CS119" s="2"/>
      <c r="CT119" s="2"/>
      <c r="CU119" s="2"/>
      <c r="CV119" s="2"/>
      <c r="CW119" s="2"/>
      <c r="CX119" s="2"/>
      <c r="CZ119" s="2"/>
      <c r="DA119" s="2"/>
      <c r="DB119" s="2"/>
      <c r="DC119" s="2"/>
      <c r="DD119" s="2"/>
      <c r="DE119" s="2"/>
      <c r="DG119" s="1"/>
      <c r="DH119" s="1"/>
      <c r="DI119" s="1"/>
      <c r="DJ119" s="1"/>
      <c r="DK119" s="1"/>
      <c r="DL119" s="1"/>
      <c r="DO119" s="97"/>
      <c r="DP119" s="97"/>
      <c r="DQ119" s="97"/>
      <c r="DR119" s="97"/>
      <c r="DS119" s="97"/>
      <c r="DT119" s="97"/>
    </row>
    <row r="120" spans="82:124" x14ac:dyDescent="0.35">
      <c r="CD120" s="2"/>
      <c r="CE120" s="2"/>
      <c r="CF120" s="2"/>
      <c r="CG120" s="2"/>
      <c r="CH120" s="2"/>
      <c r="CI120" s="2"/>
      <c r="CL120" s="2"/>
      <c r="CM120" s="2"/>
      <c r="CN120" s="2"/>
      <c r="CO120" s="2"/>
      <c r="CP120" s="2"/>
      <c r="CQ120" s="2"/>
      <c r="CS120" s="2"/>
      <c r="CT120" s="2"/>
      <c r="CU120" s="2"/>
      <c r="CV120" s="2"/>
      <c r="CW120" s="2"/>
      <c r="CX120" s="2"/>
      <c r="CZ120" s="2"/>
      <c r="DA120" s="2"/>
      <c r="DB120" s="2"/>
      <c r="DC120" s="2"/>
      <c r="DD120" s="2"/>
      <c r="DE120" s="2"/>
      <c r="DG120" s="1"/>
      <c r="DH120" s="1"/>
      <c r="DI120" s="1"/>
      <c r="DJ120" s="1"/>
      <c r="DK120" s="1"/>
      <c r="DL120" s="1"/>
      <c r="DO120" s="97"/>
      <c r="DP120" s="97"/>
      <c r="DQ120" s="97"/>
      <c r="DR120" s="97"/>
      <c r="DS120" s="97"/>
      <c r="DT120" s="97"/>
    </row>
    <row r="121" spans="82:124" x14ac:dyDescent="0.35">
      <c r="CD121" s="2"/>
      <c r="CE121" s="2"/>
      <c r="CF121" s="2"/>
      <c r="CG121" s="2"/>
      <c r="CH121" s="2"/>
      <c r="CI121" s="2"/>
      <c r="CL121" s="2"/>
      <c r="CM121" s="2"/>
      <c r="CN121" s="2"/>
      <c r="CO121" s="2"/>
      <c r="CP121" s="2"/>
      <c r="CQ121" s="2"/>
      <c r="CS121" s="2"/>
      <c r="CT121" s="2"/>
      <c r="CU121" s="2"/>
      <c r="CV121" s="2"/>
      <c r="CW121" s="2"/>
      <c r="CX121" s="2"/>
      <c r="CZ121" s="2"/>
      <c r="DA121" s="2"/>
      <c r="DB121" s="2"/>
      <c r="DC121" s="2"/>
      <c r="DD121" s="2"/>
      <c r="DE121" s="2"/>
      <c r="DG121" s="1"/>
      <c r="DH121" s="1"/>
      <c r="DI121" s="1"/>
      <c r="DJ121" s="1"/>
      <c r="DK121" s="1"/>
      <c r="DL121" s="1"/>
      <c r="DO121" s="97"/>
      <c r="DP121" s="97"/>
      <c r="DQ121" s="97"/>
      <c r="DR121" s="97"/>
      <c r="DS121" s="97"/>
      <c r="DT121" s="97"/>
    </row>
    <row r="122" spans="82:124" x14ac:dyDescent="0.35">
      <c r="CD122" s="2"/>
      <c r="CE122" s="2"/>
      <c r="CF122" s="2"/>
      <c r="CG122" s="2"/>
      <c r="CH122" s="2"/>
      <c r="CI122" s="2"/>
      <c r="CL122" s="2"/>
      <c r="CM122" s="2"/>
      <c r="CN122" s="2"/>
      <c r="CO122" s="2"/>
      <c r="CP122" s="2"/>
      <c r="CQ122" s="2"/>
      <c r="CS122" s="2"/>
      <c r="CT122" s="2"/>
      <c r="CU122" s="2"/>
      <c r="CV122" s="2"/>
      <c r="CW122" s="2"/>
      <c r="CX122" s="2"/>
      <c r="CZ122" s="2"/>
      <c r="DA122" s="2"/>
      <c r="DB122" s="2"/>
      <c r="DC122" s="2"/>
      <c r="DD122" s="2"/>
      <c r="DE122" s="2"/>
      <c r="DG122" s="1"/>
      <c r="DH122" s="1"/>
      <c r="DI122" s="1"/>
      <c r="DJ122" s="1"/>
      <c r="DK122" s="1"/>
      <c r="DL122" s="1"/>
      <c r="DO122" s="97"/>
      <c r="DP122" s="97"/>
      <c r="DQ122" s="97"/>
      <c r="DR122" s="97"/>
      <c r="DS122" s="97"/>
      <c r="DT122" s="97"/>
    </row>
    <row r="123" spans="82:124" x14ac:dyDescent="0.35">
      <c r="CD123" s="2"/>
      <c r="CE123" s="2"/>
      <c r="CF123" s="2"/>
      <c r="CG123" s="2"/>
      <c r="CH123" s="2"/>
      <c r="CI123" s="2"/>
      <c r="CL123" s="2"/>
      <c r="CM123" s="2"/>
      <c r="CN123" s="2"/>
      <c r="CO123" s="2"/>
      <c r="CP123" s="2"/>
      <c r="CQ123" s="2"/>
      <c r="CS123" s="2"/>
      <c r="CT123" s="2"/>
      <c r="CU123" s="2"/>
      <c r="CV123" s="2"/>
      <c r="CW123" s="2"/>
      <c r="CX123" s="2"/>
      <c r="CZ123" s="2"/>
      <c r="DA123" s="2"/>
      <c r="DB123" s="2"/>
      <c r="DC123" s="2"/>
      <c r="DD123" s="2"/>
      <c r="DE123" s="2"/>
      <c r="DG123" s="1"/>
      <c r="DH123" s="1"/>
      <c r="DI123" s="1"/>
      <c r="DJ123" s="1"/>
      <c r="DK123" s="1"/>
      <c r="DL123" s="1"/>
      <c r="DO123" s="97"/>
      <c r="DP123" s="97"/>
      <c r="DQ123" s="97"/>
      <c r="DR123" s="97"/>
      <c r="DS123" s="97"/>
      <c r="DT123" s="97"/>
    </row>
    <row r="124" spans="82:124" x14ac:dyDescent="0.35">
      <c r="CD124" s="2"/>
      <c r="CE124" s="2"/>
      <c r="CF124" s="2"/>
      <c r="CG124" s="2"/>
      <c r="CH124" s="2"/>
      <c r="CI124" s="2"/>
      <c r="CL124" s="2"/>
      <c r="CM124" s="2"/>
      <c r="CN124" s="2"/>
      <c r="CO124" s="2"/>
      <c r="CP124" s="2"/>
      <c r="CQ124" s="2"/>
      <c r="CS124" s="2"/>
      <c r="CT124" s="2"/>
      <c r="CU124" s="2"/>
      <c r="CV124" s="2"/>
      <c r="CW124" s="2"/>
      <c r="CX124" s="2"/>
      <c r="CZ124" s="2"/>
      <c r="DA124" s="2"/>
      <c r="DB124" s="2"/>
      <c r="DC124" s="2"/>
      <c r="DD124" s="2"/>
      <c r="DE124" s="2"/>
      <c r="DG124" s="1"/>
      <c r="DH124" s="1"/>
      <c r="DI124" s="1"/>
      <c r="DJ124" s="1"/>
      <c r="DK124" s="1"/>
      <c r="DL124" s="1"/>
      <c r="DO124" s="97"/>
      <c r="DP124" s="97"/>
      <c r="DQ124" s="97"/>
      <c r="DR124" s="97"/>
      <c r="DS124" s="97"/>
      <c r="DT124" s="97"/>
    </row>
    <row r="125" spans="82:124" x14ac:dyDescent="0.35">
      <c r="CD125" s="2"/>
      <c r="CE125" s="2"/>
      <c r="CF125" s="2"/>
      <c r="CG125" s="2"/>
      <c r="CH125" s="2"/>
      <c r="CI125" s="2"/>
      <c r="CL125" s="2"/>
      <c r="CM125" s="2"/>
      <c r="CN125" s="2"/>
      <c r="CO125" s="2"/>
      <c r="CP125" s="2"/>
      <c r="CQ125" s="2"/>
      <c r="CS125" s="2"/>
      <c r="CT125" s="2"/>
      <c r="CU125" s="2"/>
      <c r="CV125" s="2"/>
      <c r="CW125" s="2"/>
      <c r="CX125" s="2"/>
      <c r="CZ125" s="2"/>
      <c r="DA125" s="2"/>
      <c r="DB125" s="2"/>
      <c r="DC125" s="2"/>
      <c r="DD125" s="2"/>
      <c r="DE125" s="2"/>
      <c r="DG125" s="1"/>
      <c r="DH125" s="1"/>
      <c r="DI125" s="1"/>
      <c r="DJ125" s="1"/>
      <c r="DK125" s="1"/>
      <c r="DL125" s="1"/>
      <c r="DO125" s="97"/>
      <c r="DP125" s="97"/>
      <c r="DQ125" s="97"/>
      <c r="DR125" s="97"/>
      <c r="DS125" s="97"/>
      <c r="DT125" s="97"/>
    </row>
    <row r="126" spans="82:124" x14ac:dyDescent="0.35">
      <c r="CD126" s="1"/>
      <c r="CE126" s="1"/>
      <c r="CF126" s="1"/>
      <c r="CG126" s="1"/>
      <c r="CH126" s="1"/>
      <c r="CI126" s="2"/>
      <c r="CL126" s="2"/>
      <c r="CM126" s="2"/>
      <c r="CN126" s="2"/>
      <c r="CO126" s="2"/>
      <c r="CP126" s="2"/>
      <c r="CQ126" s="2"/>
      <c r="CS126" s="2"/>
      <c r="CT126" s="2"/>
      <c r="CU126" s="2"/>
      <c r="CV126" s="2"/>
      <c r="CW126" s="2"/>
      <c r="CX126" s="2"/>
      <c r="CZ126" s="2"/>
      <c r="DA126" s="2"/>
      <c r="DB126" s="2"/>
      <c r="DC126" s="2"/>
      <c r="DD126" s="2"/>
      <c r="DE126" s="2"/>
      <c r="DG126" s="1"/>
      <c r="DH126" s="1"/>
      <c r="DI126" s="1"/>
      <c r="DJ126" s="1"/>
      <c r="DK126" s="1"/>
      <c r="DL126" s="1"/>
      <c r="DO126" s="97"/>
      <c r="DP126" s="97"/>
      <c r="DQ126" s="97"/>
      <c r="DR126" s="97"/>
      <c r="DS126" s="97"/>
      <c r="DT126" s="97"/>
    </row>
    <row r="127" spans="82:124" x14ac:dyDescent="0.35">
      <c r="CD127" s="1"/>
      <c r="CE127" s="1"/>
      <c r="CF127" s="1"/>
      <c r="CG127" s="1"/>
      <c r="CH127" s="1"/>
      <c r="CI127" s="2"/>
      <c r="CL127" s="2"/>
      <c r="CM127" s="2"/>
      <c r="CN127" s="2"/>
      <c r="CO127" s="2"/>
      <c r="CP127" s="2"/>
      <c r="CQ127" s="2"/>
      <c r="CS127" s="2"/>
      <c r="CT127" s="2"/>
      <c r="CU127" s="2"/>
      <c r="CV127" s="2"/>
      <c r="CW127" s="2"/>
      <c r="CX127" s="2"/>
      <c r="CZ127" s="2"/>
      <c r="DA127" s="2"/>
      <c r="DB127" s="2"/>
      <c r="DC127" s="2"/>
      <c r="DD127" s="2"/>
      <c r="DE127" s="2"/>
      <c r="DG127" s="1"/>
      <c r="DH127" s="1"/>
      <c r="DI127" s="1"/>
      <c r="DJ127" s="1"/>
      <c r="DK127" s="1"/>
      <c r="DL127" s="1"/>
      <c r="DO127" s="97"/>
      <c r="DP127" s="97"/>
      <c r="DQ127" s="97"/>
      <c r="DR127" s="97"/>
      <c r="DS127" s="97"/>
      <c r="DT127" s="97"/>
    </row>
    <row r="128" spans="82:124" x14ac:dyDescent="0.35">
      <c r="CD128" s="1"/>
      <c r="CE128" s="1"/>
      <c r="CF128" s="1"/>
      <c r="CG128" s="1"/>
      <c r="CH128" s="1"/>
      <c r="CI128" s="2"/>
      <c r="CL128" s="2"/>
      <c r="CM128" s="2"/>
      <c r="CN128" s="2"/>
      <c r="CO128" s="2"/>
      <c r="CP128" s="2"/>
      <c r="CQ128" s="2"/>
      <c r="CS128" s="2"/>
      <c r="CT128" s="2"/>
      <c r="CU128" s="2"/>
      <c r="CV128" s="2"/>
      <c r="CW128" s="2"/>
      <c r="CX128" s="2"/>
      <c r="CZ128" s="2"/>
      <c r="DA128" s="2"/>
      <c r="DB128" s="2"/>
      <c r="DC128" s="2"/>
      <c r="DD128" s="2"/>
      <c r="DE128" s="2"/>
      <c r="DG128" s="1"/>
      <c r="DH128" s="1"/>
      <c r="DI128" s="1"/>
      <c r="DJ128" s="1"/>
      <c r="DK128" s="1"/>
      <c r="DL128" s="1"/>
      <c r="DO128" s="97"/>
      <c r="DP128" s="97"/>
      <c r="DQ128" s="97"/>
      <c r="DR128" s="97"/>
      <c r="DS128" s="97"/>
      <c r="DT128" s="97"/>
    </row>
    <row r="129" spans="82:124" x14ac:dyDescent="0.35">
      <c r="CD129" s="1"/>
      <c r="CE129" s="1"/>
      <c r="CF129" s="1"/>
      <c r="CG129" s="1"/>
      <c r="CH129" s="1"/>
      <c r="CI129" s="2"/>
      <c r="CL129" s="2"/>
      <c r="CM129" s="2"/>
      <c r="CN129" s="2"/>
      <c r="CO129" s="2"/>
      <c r="CP129" s="2"/>
      <c r="CQ129" s="2"/>
      <c r="CS129" s="2"/>
      <c r="CT129" s="2"/>
      <c r="CU129" s="2"/>
      <c r="CV129" s="2"/>
      <c r="CW129" s="2"/>
      <c r="CX129" s="2"/>
      <c r="CZ129" s="2"/>
      <c r="DA129" s="2"/>
      <c r="DB129" s="2"/>
      <c r="DC129" s="2"/>
      <c r="DD129" s="2"/>
      <c r="DE129" s="2"/>
      <c r="DG129" s="1"/>
      <c r="DH129" s="1"/>
      <c r="DI129" s="1"/>
      <c r="DJ129" s="1"/>
      <c r="DK129" s="1"/>
      <c r="DL129" s="1"/>
      <c r="DO129" s="97"/>
      <c r="DP129" s="97"/>
      <c r="DQ129" s="97"/>
      <c r="DR129" s="97"/>
      <c r="DS129" s="97"/>
      <c r="DT129" s="97"/>
    </row>
    <row r="130" spans="82:124" x14ac:dyDescent="0.35">
      <c r="CD130" s="1"/>
      <c r="CE130" s="1"/>
      <c r="CF130" s="1"/>
      <c r="CG130" s="1"/>
      <c r="CH130" s="1"/>
      <c r="CI130" s="2"/>
      <c r="CL130" s="2"/>
      <c r="CM130" s="2"/>
      <c r="CN130" s="2"/>
      <c r="CO130" s="2"/>
      <c r="CP130" s="2"/>
      <c r="CQ130" s="2"/>
      <c r="CS130" s="2"/>
      <c r="CT130" s="2"/>
      <c r="CU130" s="2"/>
      <c r="CV130" s="2"/>
      <c r="CW130" s="2"/>
      <c r="CX130" s="2"/>
      <c r="CZ130" s="2"/>
      <c r="DA130" s="2"/>
      <c r="DB130" s="2"/>
      <c r="DC130" s="2"/>
      <c r="DD130" s="2"/>
      <c r="DE130" s="2"/>
      <c r="DG130" s="1"/>
      <c r="DH130" s="1"/>
      <c r="DI130" s="1"/>
      <c r="DJ130" s="1"/>
      <c r="DK130" s="1"/>
      <c r="DL130" s="1"/>
      <c r="DO130" s="97"/>
      <c r="DP130" s="97"/>
      <c r="DQ130" s="97"/>
      <c r="DR130" s="97"/>
      <c r="DS130" s="97"/>
      <c r="DT130" s="97"/>
    </row>
    <row r="131" spans="82:124" x14ac:dyDescent="0.35">
      <c r="CD131" s="1"/>
      <c r="CE131" s="1"/>
      <c r="CF131" s="1"/>
      <c r="CG131" s="1"/>
      <c r="CH131" s="1"/>
      <c r="CI131" s="2"/>
      <c r="CL131" s="2"/>
      <c r="CM131" s="2"/>
      <c r="CN131" s="2"/>
      <c r="CO131" s="2"/>
      <c r="CP131" s="2"/>
      <c r="CQ131" s="2"/>
      <c r="CS131" s="2"/>
      <c r="CT131" s="2"/>
      <c r="CU131" s="2"/>
      <c r="CV131" s="2"/>
      <c r="CW131" s="2"/>
      <c r="CX131" s="2"/>
      <c r="CZ131" s="2"/>
      <c r="DA131" s="2"/>
      <c r="DB131" s="2"/>
      <c r="DC131" s="2"/>
      <c r="DD131" s="2"/>
      <c r="DE131" s="2"/>
      <c r="DG131" s="1"/>
      <c r="DH131" s="1"/>
      <c r="DI131" s="1"/>
      <c r="DJ131" s="1"/>
      <c r="DK131" s="1"/>
      <c r="DL131" s="1"/>
      <c r="DO131" s="97"/>
      <c r="DP131" s="97"/>
      <c r="DQ131" s="97"/>
      <c r="DR131" s="97"/>
      <c r="DS131" s="97"/>
      <c r="DT131" s="97"/>
    </row>
    <row r="132" spans="82:124" x14ac:dyDescent="0.35">
      <c r="CD132" s="1"/>
      <c r="CE132" s="1"/>
      <c r="CF132" s="1"/>
      <c r="CG132" s="1"/>
      <c r="CH132" s="1"/>
      <c r="CI132" s="2"/>
      <c r="CL132" s="2"/>
      <c r="CM132" s="2"/>
      <c r="CN132" s="2"/>
      <c r="CO132" s="2"/>
      <c r="CP132" s="2"/>
      <c r="CQ132" s="2"/>
      <c r="CS132" s="2"/>
      <c r="CT132" s="2"/>
      <c r="CU132" s="2"/>
      <c r="CV132" s="2"/>
      <c r="CW132" s="2"/>
      <c r="CX132" s="2"/>
      <c r="CZ132" s="2"/>
      <c r="DA132" s="2"/>
      <c r="DB132" s="2"/>
      <c r="DC132" s="2"/>
      <c r="DD132" s="2"/>
      <c r="DE132" s="2"/>
      <c r="DG132" s="1"/>
      <c r="DH132" s="1"/>
      <c r="DI132" s="1"/>
      <c r="DJ132" s="1"/>
      <c r="DK132" s="1"/>
      <c r="DL132" s="1"/>
      <c r="DO132" s="97"/>
      <c r="DP132" s="97"/>
      <c r="DQ132" s="97"/>
      <c r="DR132" s="97"/>
      <c r="DS132" s="97"/>
      <c r="DT132" s="97"/>
    </row>
    <row r="133" spans="82:124" x14ac:dyDescent="0.35">
      <c r="CD133" s="1"/>
      <c r="CE133" s="1"/>
      <c r="CF133" s="1"/>
      <c r="CG133" s="1"/>
      <c r="CH133" s="1"/>
      <c r="CI133" s="2"/>
      <c r="CL133" s="2"/>
      <c r="CM133" s="2"/>
      <c r="CN133" s="2"/>
      <c r="CO133" s="2"/>
      <c r="CP133" s="2"/>
      <c r="CQ133" s="2"/>
      <c r="CS133" s="2"/>
      <c r="CT133" s="2"/>
      <c r="CU133" s="2"/>
      <c r="CV133" s="2"/>
      <c r="CW133" s="2"/>
      <c r="CX133" s="2"/>
      <c r="CZ133" s="2"/>
      <c r="DA133" s="2"/>
      <c r="DB133" s="2"/>
      <c r="DC133" s="2"/>
      <c r="DD133" s="2"/>
      <c r="DE133" s="2"/>
      <c r="DG133" s="1"/>
      <c r="DH133" s="1"/>
      <c r="DI133" s="1"/>
      <c r="DJ133" s="1"/>
      <c r="DK133" s="1"/>
      <c r="DL133" s="1"/>
      <c r="DO133" s="97"/>
      <c r="DP133" s="97"/>
      <c r="DQ133" s="97"/>
      <c r="DR133" s="97"/>
      <c r="DS133" s="97"/>
      <c r="DT133" s="97"/>
    </row>
    <row r="134" spans="82:124" x14ac:dyDescent="0.35">
      <c r="CD134" s="1"/>
      <c r="CE134" s="1"/>
      <c r="CF134" s="1"/>
      <c r="CG134" s="1"/>
      <c r="CH134" s="1"/>
      <c r="CI134" s="2"/>
      <c r="CL134" s="2"/>
      <c r="CM134" s="2"/>
      <c r="CN134" s="2"/>
      <c r="CO134" s="2"/>
      <c r="CP134" s="2"/>
      <c r="CQ134" s="2"/>
      <c r="CS134" s="2"/>
      <c r="CT134" s="2"/>
      <c r="CU134" s="2"/>
      <c r="CV134" s="2"/>
      <c r="CW134" s="2"/>
      <c r="CX134" s="2"/>
      <c r="CZ134" s="2"/>
      <c r="DA134" s="2"/>
      <c r="DB134" s="2"/>
      <c r="DC134" s="2"/>
      <c r="DD134" s="2"/>
      <c r="DE134" s="2"/>
      <c r="DG134" s="1"/>
      <c r="DH134" s="1"/>
      <c r="DI134" s="1"/>
      <c r="DJ134" s="1"/>
      <c r="DK134" s="1"/>
      <c r="DL134" s="1"/>
      <c r="DO134" s="97"/>
      <c r="DP134" s="97"/>
      <c r="DQ134" s="97"/>
      <c r="DR134" s="97"/>
      <c r="DS134" s="97"/>
      <c r="DT134" s="97"/>
    </row>
    <row r="135" spans="82:124" x14ac:dyDescent="0.35">
      <c r="CD135" s="1"/>
      <c r="CE135" s="1"/>
      <c r="CF135" s="1"/>
      <c r="CG135" s="1"/>
      <c r="CH135" s="1"/>
      <c r="CI135" s="2"/>
      <c r="CL135" s="2"/>
      <c r="CM135" s="2"/>
      <c r="CN135" s="2"/>
      <c r="CO135" s="2"/>
      <c r="CP135" s="2"/>
      <c r="CQ135" s="2"/>
      <c r="CS135" s="2"/>
      <c r="CT135" s="2"/>
      <c r="CU135" s="2"/>
      <c r="CV135" s="2"/>
      <c r="CW135" s="2"/>
      <c r="CX135" s="2"/>
      <c r="CZ135" s="2"/>
      <c r="DA135" s="2"/>
      <c r="DB135" s="2"/>
      <c r="DC135" s="2"/>
      <c r="DD135" s="2"/>
      <c r="DE135" s="2"/>
      <c r="DG135" s="1"/>
      <c r="DH135" s="1"/>
      <c r="DI135" s="1"/>
      <c r="DJ135" s="1"/>
      <c r="DK135" s="1"/>
      <c r="DL135" s="1"/>
      <c r="DO135" s="97"/>
      <c r="DP135" s="97"/>
      <c r="DQ135" s="97"/>
      <c r="DR135" s="97"/>
      <c r="DS135" s="97"/>
      <c r="DT135" s="97"/>
    </row>
    <row r="136" spans="82:124" x14ac:dyDescent="0.35">
      <c r="CD136" s="1"/>
      <c r="CE136" s="1"/>
      <c r="CF136" s="1"/>
      <c r="CG136" s="1"/>
      <c r="CH136" s="1"/>
      <c r="CI136" s="2"/>
      <c r="CL136" s="2"/>
      <c r="CM136" s="2"/>
      <c r="CN136" s="2"/>
      <c r="CO136" s="2"/>
      <c r="CP136" s="2"/>
      <c r="CQ136" s="2"/>
      <c r="CS136" s="2"/>
      <c r="CT136" s="2"/>
      <c r="CU136" s="2"/>
      <c r="CV136" s="2"/>
      <c r="CW136" s="2"/>
      <c r="CX136" s="2"/>
      <c r="CZ136" s="2"/>
      <c r="DA136" s="2"/>
      <c r="DB136" s="2"/>
      <c r="DC136" s="2"/>
      <c r="DD136" s="2"/>
      <c r="DE136" s="2"/>
      <c r="DG136" s="1"/>
      <c r="DH136" s="1"/>
      <c r="DI136" s="1"/>
      <c r="DJ136" s="1"/>
      <c r="DK136" s="1"/>
      <c r="DL136" s="1"/>
      <c r="DO136" s="97"/>
      <c r="DP136" s="97"/>
      <c r="DQ136" s="97"/>
      <c r="DR136" s="97"/>
      <c r="DS136" s="97"/>
      <c r="DT136" s="97"/>
    </row>
    <row r="137" spans="82:124" x14ac:dyDescent="0.35">
      <c r="CD137" s="1"/>
      <c r="CE137" s="1"/>
      <c r="CF137" s="1"/>
      <c r="CG137" s="1"/>
      <c r="CH137" s="1"/>
      <c r="CI137" s="2"/>
      <c r="CL137" s="2"/>
      <c r="CM137" s="2"/>
      <c r="CN137" s="2"/>
      <c r="CO137" s="2"/>
      <c r="CP137" s="2"/>
      <c r="CS137" s="2"/>
      <c r="CT137" s="2"/>
      <c r="CU137" s="2"/>
      <c r="CV137" s="2"/>
      <c r="CW137" s="2"/>
      <c r="CZ137" s="2"/>
      <c r="DA137" s="2"/>
      <c r="DB137" s="2"/>
      <c r="DC137" s="2"/>
      <c r="DD137" s="2"/>
      <c r="DG137" s="1"/>
      <c r="DH137" s="1"/>
      <c r="DI137" s="1"/>
      <c r="DJ137" s="1"/>
      <c r="DK137" s="1"/>
      <c r="DO137" s="2"/>
      <c r="DP137" s="2"/>
      <c r="DQ137" s="2"/>
      <c r="DR137" s="2"/>
      <c r="DS137" s="2"/>
    </row>
    <row r="140" spans="82:124" x14ac:dyDescent="0.35">
      <c r="CD140" s="1"/>
      <c r="CE140" s="1"/>
      <c r="CF140" s="1"/>
      <c r="CG140" s="1"/>
      <c r="CH140" s="1"/>
      <c r="CI140" s="1"/>
      <c r="CL140" s="1"/>
      <c r="CM140" s="1"/>
      <c r="CN140" s="1"/>
      <c r="CO140" s="1"/>
      <c r="CP140" s="1"/>
      <c r="CQ140" s="1"/>
      <c r="CS140" s="1"/>
      <c r="CT140" s="1"/>
      <c r="CU140" s="1"/>
      <c r="CV140" s="1"/>
      <c r="CW140" s="1"/>
      <c r="CX140" s="1"/>
      <c r="CZ140" s="1"/>
      <c r="DA140" s="1"/>
      <c r="DB140" s="1"/>
      <c r="DC140" s="1"/>
      <c r="DD140" s="1"/>
      <c r="DE140" s="1"/>
      <c r="DG140" s="1"/>
      <c r="DH140" s="1"/>
      <c r="DI140" s="1"/>
      <c r="DJ140" s="1"/>
      <c r="DK140" s="1"/>
      <c r="DL140" s="1"/>
      <c r="DO140" s="1"/>
      <c r="DP140" s="1"/>
      <c r="DQ140" s="1"/>
      <c r="DR140" s="1"/>
      <c r="DS140" s="1"/>
      <c r="DT140" s="1"/>
    </row>
    <row r="141" spans="82:124" x14ac:dyDescent="0.35">
      <c r="CD141" s="1"/>
      <c r="CE141" s="1"/>
      <c r="CF141" s="1"/>
      <c r="CG141" s="1"/>
      <c r="CH141" s="1"/>
      <c r="CI141" s="1"/>
      <c r="CL141" s="1"/>
      <c r="CM141" s="1"/>
      <c r="CN141" s="1"/>
      <c r="CO141" s="1"/>
      <c r="CP141" s="1"/>
      <c r="CQ141" s="1"/>
      <c r="CS141" s="1"/>
      <c r="CT141" s="1"/>
      <c r="CU141" s="1"/>
      <c r="CV141" s="1"/>
      <c r="CW141" s="1"/>
      <c r="CX141" s="1"/>
      <c r="CZ141" s="1"/>
      <c r="DA141" s="1"/>
      <c r="DB141" s="1"/>
      <c r="DC141" s="1"/>
      <c r="DD141" s="1"/>
      <c r="DE141" s="1"/>
      <c r="DG141" s="1"/>
      <c r="DH141" s="1"/>
      <c r="DI141" s="1"/>
      <c r="DJ141" s="1"/>
      <c r="DK141" s="1"/>
      <c r="DL141" s="1"/>
      <c r="DO141" s="1"/>
      <c r="DP141" s="1"/>
      <c r="DQ141" s="1"/>
      <c r="DR141" s="1"/>
      <c r="DS141" s="1"/>
      <c r="DT141" s="1"/>
    </row>
    <row r="142" spans="82:124" x14ac:dyDescent="0.35">
      <c r="CD142" s="147"/>
      <c r="CE142" s="147"/>
      <c r="CF142" s="147"/>
      <c r="CG142" s="147"/>
      <c r="CH142" s="147"/>
      <c r="CI142" s="147"/>
      <c r="CL142" s="1"/>
      <c r="CM142" s="1"/>
      <c r="CN142" s="1"/>
      <c r="CO142" s="1"/>
      <c r="CP142" s="1"/>
      <c r="CQ142" s="1"/>
      <c r="CS142" s="1"/>
      <c r="CT142" s="1"/>
      <c r="CU142" s="1"/>
      <c r="CV142" s="1"/>
      <c r="CW142" s="1"/>
      <c r="CX142" s="1"/>
      <c r="CZ142" s="1"/>
      <c r="DA142" s="1"/>
      <c r="DB142" s="1"/>
      <c r="DC142" s="1"/>
      <c r="DD142" s="1"/>
      <c r="DE142" s="1"/>
      <c r="DG142" s="1"/>
      <c r="DH142" s="1"/>
      <c r="DI142" s="1"/>
      <c r="DJ142" s="1"/>
      <c r="DK142" s="1"/>
      <c r="DL142" s="1"/>
      <c r="DO142" s="1"/>
      <c r="DP142" s="1"/>
      <c r="DQ142" s="1"/>
      <c r="DR142" s="1"/>
      <c r="DS142" s="1"/>
      <c r="DT142" s="1"/>
    </row>
    <row r="145" spans="22:94" x14ac:dyDescent="0.35">
      <c r="CD145" s="1"/>
      <c r="CE145" s="1"/>
      <c r="CF145" s="1"/>
      <c r="CG145" s="1"/>
      <c r="CH145" s="1"/>
      <c r="CI145" s="1"/>
    </row>
    <row r="146" spans="22:94" x14ac:dyDescent="0.35">
      <c r="CC146" s="1"/>
      <c r="CD146" s="1"/>
      <c r="CE146" s="1"/>
      <c r="CF146" s="1"/>
      <c r="CG146" s="1"/>
      <c r="CH146" s="1"/>
      <c r="CI146" s="1"/>
      <c r="CL146" s="1"/>
      <c r="CM146" s="1"/>
      <c r="CN146" s="1"/>
      <c r="CO146" s="1"/>
      <c r="CP146" s="1"/>
    </row>
    <row r="147" spans="22:94" x14ac:dyDescent="0.35">
      <c r="CD147" s="1"/>
      <c r="CE147" s="1"/>
      <c r="CF147" s="1"/>
      <c r="CG147" s="1"/>
      <c r="CH147" s="1"/>
      <c r="CI147" s="1"/>
      <c r="CL147" s="1"/>
      <c r="CM147" s="1"/>
      <c r="CN147" s="1"/>
      <c r="CO147" s="1"/>
      <c r="CP147" s="1"/>
    </row>
    <row r="148" spans="22:94" x14ac:dyDescent="0.35">
      <c r="CD148" s="1"/>
      <c r="CE148" s="1"/>
      <c r="CF148" s="1"/>
      <c r="CG148" s="1"/>
      <c r="CH148" s="1"/>
      <c r="CI148" s="1"/>
      <c r="CL148" s="1"/>
      <c r="CM148" s="1"/>
      <c r="CN148" s="1"/>
      <c r="CO148" s="1"/>
      <c r="CP148" s="1"/>
    </row>
    <row r="149" spans="22:94" x14ac:dyDescent="0.35">
      <c r="V149" s="157" t="s">
        <v>122</v>
      </c>
      <c r="CD149" s="1"/>
      <c r="CE149" s="1"/>
      <c r="CF149" s="1"/>
      <c r="CG149" s="1"/>
      <c r="CH149" s="1"/>
      <c r="CI149" s="1"/>
    </row>
    <row r="150" spans="22:94" x14ac:dyDescent="0.35">
      <c r="CD150" s="1"/>
      <c r="CE150" s="1"/>
      <c r="CF150" s="1"/>
      <c r="CG150" s="1"/>
      <c r="CH150" s="1"/>
      <c r="CI150" s="1"/>
    </row>
    <row r="151" spans="22:94" x14ac:dyDescent="0.35">
      <c r="CD151" s="1"/>
    </row>
    <row r="154" spans="22:94" x14ac:dyDescent="0.35">
      <c r="CC154" s="119"/>
      <c r="CD154" s="1"/>
      <c r="CE154" s="1"/>
      <c r="CF154" s="1"/>
      <c r="CG154" s="1"/>
      <c r="CH154" s="1"/>
      <c r="CI154" s="1"/>
    </row>
    <row r="155" spans="22:94" x14ac:dyDescent="0.35">
      <c r="CC155" s="119"/>
      <c r="CD155" s="1"/>
      <c r="CE155" s="1"/>
      <c r="CF155" s="1"/>
      <c r="CG155" s="1"/>
      <c r="CH155" s="1"/>
      <c r="CI155" s="1"/>
    </row>
    <row r="158" spans="22:94" x14ac:dyDescent="0.35">
      <c r="CC158" s="98"/>
    </row>
    <row r="237" spans="3:11" x14ac:dyDescent="0.35">
      <c r="C237" s="2"/>
      <c r="D237" s="2"/>
      <c r="E237" s="2"/>
      <c r="F237" s="2"/>
      <c r="G237" s="2"/>
      <c r="H237" s="2"/>
      <c r="I237" s="79"/>
      <c r="J237" s="79"/>
      <c r="K237" s="79"/>
    </row>
    <row r="238" spans="3:11" x14ac:dyDescent="0.35">
      <c r="C238" s="2"/>
      <c r="D238" s="2"/>
      <c r="E238" s="2"/>
      <c r="F238" s="2"/>
      <c r="G238" s="2"/>
      <c r="H238" s="2"/>
      <c r="I238" s="79"/>
      <c r="J238" s="79"/>
      <c r="K238" s="79"/>
    </row>
    <row r="239" spans="3:11" x14ac:dyDescent="0.35">
      <c r="C239" s="2"/>
      <c r="D239" s="2"/>
      <c r="E239" s="2"/>
      <c r="F239" s="2"/>
      <c r="G239" s="2"/>
      <c r="H239" s="2"/>
      <c r="I239" s="79"/>
      <c r="J239" s="79"/>
      <c r="K239" s="79"/>
    </row>
    <row r="240" spans="3:11" x14ac:dyDescent="0.35">
      <c r="C240" s="2"/>
      <c r="D240" s="2"/>
      <c r="E240" s="2"/>
      <c r="F240" s="2"/>
      <c r="G240" s="2"/>
      <c r="H240" s="2"/>
      <c r="I240" s="79"/>
      <c r="J240" s="79"/>
      <c r="K240" s="79"/>
    </row>
    <row r="241" spans="3:11" x14ac:dyDescent="0.35">
      <c r="C241" s="2"/>
      <c r="D241" s="2"/>
      <c r="E241" s="2"/>
      <c r="F241" s="2"/>
      <c r="G241" s="2"/>
      <c r="H241" s="2"/>
      <c r="I241" s="79"/>
      <c r="J241" s="79"/>
      <c r="K241" s="79"/>
    </row>
    <row r="242" spans="3:11" x14ac:dyDescent="0.35">
      <c r="C242" s="2"/>
      <c r="D242" s="2"/>
      <c r="E242" s="2"/>
      <c r="F242" s="2"/>
      <c r="G242" s="2"/>
      <c r="H242" s="2"/>
      <c r="I242" s="79"/>
      <c r="J242" s="79"/>
      <c r="K242" s="79"/>
    </row>
    <row r="243" spans="3:11" x14ac:dyDescent="0.35">
      <c r="C243" s="2"/>
      <c r="D243" s="2"/>
      <c r="E243" s="2"/>
      <c r="F243" s="2"/>
      <c r="G243" s="2"/>
      <c r="H243" s="2"/>
      <c r="I243" s="79"/>
      <c r="J243" s="79"/>
      <c r="K243" s="79"/>
    </row>
    <row r="244" spans="3:11" x14ac:dyDescent="0.35">
      <c r="C244" s="2"/>
      <c r="D244" s="2"/>
      <c r="E244" s="2"/>
      <c r="F244" s="2"/>
      <c r="G244" s="2"/>
      <c r="H244" s="2"/>
      <c r="I244" s="79"/>
      <c r="J244" s="79"/>
      <c r="K244" s="79"/>
    </row>
    <row r="245" spans="3:11" x14ac:dyDescent="0.35">
      <c r="C245" s="2"/>
      <c r="D245" s="2"/>
      <c r="E245" s="2"/>
      <c r="F245" s="2"/>
      <c r="G245" s="2"/>
      <c r="H245" s="2"/>
      <c r="I245" s="79"/>
      <c r="J245" s="79"/>
      <c r="K245" s="79"/>
    </row>
    <row r="246" spans="3:11" x14ac:dyDescent="0.35">
      <c r="C246" s="2"/>
      <c r="D246" s="2"/>
      <c r="E246" s="2"/>
      <c r="F246" s="2"/>
      <c r="G246" s="2"/>
      <c r="H246" s="2"/>
      <c r="I246" s="79"/>
      <c r="J246" s="79"/>
      <c r="K246" s="79"/>
    </row>
    <row r="247" spans="3:11" x14ac:dyDescent="0.35">
      <c r="C247" s="2"/>
      <c r="D247" s="2"/>
      <c r="E247" s="2"/>
      <c r="F247" s="2"/>
      <c r="G247" s="2"/>
      <c r="H247" s="2"/>
      <c r="I247" s="79"/>
      <c r="J247" s="79"/>
      <c r="K247" s="79"/>
    </row>
    <row r="248" spans="3:11" x14ac:dyDescent="0.35">
      <c r="C248" s="2"/>
      <c r="D248" s="2"/>
      <c r="E248" s="2"/>
      <c r="F248" s="2"/>
      <c r="G248" s="2"/>
      <c r="H248" s="2"/>
      <c r="I248" s="79"/>
      <c r="J248" s="79"/>
      <c r="K248" s="79"/>
    </row>
    <row r="249" spans="3:11" x14ac:dyDescent="0.35">
      <c r="C249" s="2"/>
      <c r="D249" s="2"/>
      <c r="E249" s="2"/>
      <c r="F249" s="2"/>
      <c r="G249" s="2"/>
      <c r="H249" s="2"/>
      <c r="I249" s="79"/>
      <c r="J249" s="79"/>
      <c r="K249" s="79"/>
    </row>
    <row r="250" spans="3:11" x14ac:dyDescent="0.35">
      <c r="C250" s="2"/>
      <c r="D250" s="2"/>
      <c r="E250" s="2"/>
      <c r="F250" s="2"/>
      <c r="G250" s="2"/>
      <c r="H250" s="2"/>
      <c r="I250" s="79"/>
      <c r="J250" s="79"/>
      <c r="K250" s="79"/>
    </row>
    <row r="251" spans="3:11" x14ac:dyDescent="0.35">
      <c r="C251" s="2"/>
      <c r="D251" s="2"/>
      <c r="E251" s="2"/>
      <c r="F251" s="2"/>
      <c r="G251" s="2"/>
      <c r="H251" s="2"/>
      <c r="I251" s="79"/>
      <c r="J251" s="79"/>
      <c r="K251" s="79"/>
    </row>
    <row r="252" spans="3:11" x14ac:dyDescent="0.35">
      <c r="C252" s="2"/>
      <c r="D252" s="2"/>
      <c r="E252" s="2"/>
      <c r="F252" s="2"/>
      <c r="G252" s="2"/>
      <c r="H252" s="2"/>
      <c r="I252" s="79"/>
      <c r="J252" s="79"/>
      <c r="K252" s="79"/>
    </row>
    <row r="253" spans="3:11" x14ac:dyDescent="0.35">
      <c r="C253" s="2"/>
      <c r="D253" s="2"/>
      <c r="E253" s="2"/>
      <c r="F253" s="2"/>
      <c r="G253" s="2"/>
      <c r="H253" s="2"/>
      <c r="I253" s="79"/>
      <c r="J253" s="79"/>
      <c r="K253" s="79"/>
    </row>
    <row r="254" spans="3:11" x14ac:dyDescent="0.35">
      <c r="C254" s="2"/>
      <c r="D254" s="2"/>
      <c r="E254" s="2"/>
      <c r="F254" s="2"/>
      <c r="G254" s="2"/>
      <c r="H254" s="2"/>
      <c r="I254" s="79"/>
      <c r="J254" s="79"/>
      <c r="K254" s="79"/>
    </row>
    <row r="255" spans="3:11" x14ac:dyDescent="0.35">
      <c r="C255" s="2"/>
      <c r="D255" s="2"/>
      <c r="E255" s="2"/>
      <c r="F255" s="2"/>
      <c r="G255" s="2"/>
      <c r="H255" s="2"/>
      <c r="I255" s="79"/>
      <c r="J255" s="79"/>
      <c r="K255" s="79"/>
    </row>
    <row r="256" spans="3:11" x14ac:dyDescent="0.35">
      <c r="C256" s="2"/>
      <c r="D256" s="2"/>
      <c r="E256" s="2"/>
      <c r="F256" s="2"/>
      <c r="G256" s="2"/>
      <c r="H256" s="2"/>
      <c r="I256" s="79"/>
      <c r="J256" s="79"/>
      <c r="K256" s="79"/>
    </row>
    <row r="257" spans="3:11" x14ac:dyDescent="0.35">
      <c r="C257" s="2"/>
      <c r="D257" s="2"/>
      <c r="E257" s="2"/>
      <c r="F257" s="2"/>
      <c r="G257" s="2"/>
      <c r="H257" s="2"/>
      <c r="I257" s="79"/>
      <c r="J257" s="79"/>
      <c r="K257" s="79"/>
    </row>
    <row r="258" spans="3:11" x14ac:dyDescent="0.35">
      <c r="C258" s="2"/>
      <c r="D258" s="2"/>
      <c r="E258" s="2"/>
      <c r="F258" s="2"/>
      <c r="G258" s="2"/>
      <c r="H258" s="2"/>
      <c r="I258" s="79"/>
      <c r="J258" s="79"/>
      <c r="K258" s="79"/>
    </row>
    <row r="259" spans="3:11" x14ac:dyDescent="0.35">
      <c r="C259" s="2"/>
      <c r="D259" s="2"/>
      <c r="E259" s="2"/>
      <c r="F259" s="2"/>
      <c r="G259" s="2"/>
      <c r="H259" s="2"/>
      <c r="I259" s="79"/>
      <c r="J259" s="79"/>
      <c r="K259" s="79"/>
    </row>
    <row r="260" spans="3:11" x14ac:dyDescent="0.35">
      <c r="C260" s="2"/>
      <c r="D260" s="2"/>
      <c r="E260" s="2"/>
      <c r="F260" s="2"/>
      <c r="G260" s="2"/>
      <c r="H260" s="2"/>
      <c r="I260" s="79"/>
      <c r="J260" s="79"/>
      <c r="K260" s="79"/>
    </row>
    <row r="261" spans="3:11" x14ac:dyDescent="0.35">
      <c r="C261" s="2"/>
      <c r="D261" s="2"/>
      <c r="E261" s="2"/>
      <c r="F261" s="2"/>
      <c r="G261" s="2"/>
      <c r="H261" s="2"/>
      <c r="I261" s="79"/>
      <c r="J261" s="79"/>
      <c r="K261" s="79"/>
    </row>
    <row r="262" spans="3:11" x14ac:dyDescent="0.35">
      <c r="C262" s="2"/>
      <c r="D262" s="2"/>
      <c r="E262" s="2"/>
      <c r="F262" s="2"/>
      <c r="G262" s="2"/>
      <c r="H262" s="2"/>
      <c r="I262" s="79"/>
      <c r="J262" s="79"/>
      <c r="K262" s="79"/>
    </row>
    <row r="263" spans="3:11" x14ac:dyDescent="0.35">
      <c r="C263" s="2"/>
      <c r="D263" s="2"/>
      <c r="E263" s="2"/>
      <c r="F263" s="2"/>
      <c r="G263" s="2"/>
      <c r="H263" s="2"/>
      <c r="I263" s="79"/>
      <c r="J263" s="79"/>
      <c r="K263" s="79"/>
    </row>
    <row r="264" spans="3:11" x14ac:dyDescent="0.35">
      <c r="C264" s="2"/>
      <c r="D264" s="2"/>
      <c r="E264" s="2"/>
      <c r="F264" s="2"/>
      <c r="G264" s="2"/>
      <c r="H264" s="2"/>
      <c r="I264" s="79"/>
      <c r="J264" s="79"/>
      <c r="K264" s="79"/>
    </row>
    <row r="265" spans="3:11" x14ac:dyDescent="0.35">
      <c r="C265" s="2"/>
      <c r="D265" s="2"/>
      <c r="E265" s="2"/>
      <c r="F265" s="2"/>
      <c r="G265" s="2"/>
      <c r="H265" s="2"/>
      <c r="I265" s="79"/>
      <c r="J265" s="79"/>
      <c r="K265" s="79"/>
    </row>
    <row r="266" spans="3:11" x14ac:dyDescent="0.35">
      <c r="C266" s="2"/>
      <c r="D266" s="2"/>
      <c r="E266" s="2"/>
      <c r="F266" s="2"/>
      <c r="G266" s="2"/>
      <c r="H266" s="2"/>
      <c r="I266" s="79"/>
      <c r="J266" s="79"/>
      <c r="K266" s="79"/>
    </row>
    <row r="267" spans="3:11" x14ac:dyDescent="0.35">
      <c r="C267" s="2"/>
      <c r="D267" s="2"/>
      <c r="E267" s="2"/>
      <c r="F267" s="2"/>
      <c r="G267" s="2"/>
      <c r="H267" s="2"/>
      <c r="I267" s="79"/>
      <c r="J267" s="79"/>
      <c r="K267" s="79"/>
    </row>
    <row r="268" spans="3:11" x14ac:dyDescent="0.35">
      <c r="C268" s="2"/>
      <c r="D268" s="2"/>
      <c r="E268" s="2"/>
      <c r="F268" s="2"/>
      <c r="G268" s="2"/>
      <c r="H268" s="2"/>
      <c r="I268" s="79"/>
      <c r="J268" s="79"/>
      <c r="K268" s="79"/>
    </row>
    <row r="269" spans="3:11" x14ac:dyDescent="0.35">
      <c r="C269" s="2"/>
      <c r="D269" s="2"/>
      <c r="E269" s="2"/>
      <c r="F269" s="2"/>
      <c r="G269" s="2"/>
      <c r="H269" s="2"/>
      <c r="I269" s="79"/>
      <c r="J269" s="79"/>
      <c r="K269" s="79"/>
    </row>
    <row r="272" spans="3:11" x14ac:dyDescent="0.35">
      <c r="C272" s="3"/>
      <c r="D272" s="3"/>
      <c r="E272" s="3"/>
      <c r="F272" s="3"/>
      <c r="G272" s="3"/>
      <c r="H272" s="3"/>
      <c r="I272" s="170"/>
      <c r="J272" s="170"/>
    </row>
    <row r="273" spans="3:10" x14ac:dyDescent="0.35">
      <c r="C273" s="3"/>
      <c r="D273" s="3"/>
      <c r="E273" s="3"/>
      <c r="F273" s="3"/>
      <c r="G273" s="3"/>
      <c r="H273" s="3"/>
      <c r="I273" s="170"/>
      <c r="J273" s="170"/>
    </row>
    <row r="274" spans="3:10" x14ac:dyDescent="0.35">
      <c r="C274" s="3"/>
      <c r="D274" s="3"/>
      <c r="E274" s="3"/>
      <c r="F274" s="3"/>
      <c r="G274" s="3"/>
      <c r="H274" s="3"/>
      <c r="I274" s="170"/>
      <c r="J274" s="170"/>
    </row>
    <row r="275" spans="3:10" x14ac:dyDescent="0.35">
      <c r="C275" s="3"/>
      <c r="D275" s="3"/>
      <c r="E275" s="3"/>
      <c r="F275" s="3"/>
      <c r="G275" s="3"/>
      <c r="H275" s="3"/>
      <c r="I275" s="170"/>
      <c r="J275" s="170"/>
    </row>
    <row r="276" spans="3:10" x14ac:dyDescent="0.35">
      <c r="C276" s="3"/>
      <c r="D276" s="3"/>
      <c r="E276" s="3"/>
      <c r="F276" s="3"/>
      <c r="G276" s="3"/>
      <c r="H276" s="3"/>
      <c r="I276" s="170"/>
      <c r="J276" s="170"/>
    </row>
    <row r="277" spans="3:10" x14ac:dyDescent="0.35">
      <c r="C277" s="3"/>
      <c r="D277" s="3"/>
      <c r="E277" s="3"/>
      <c r="F277" s="3"/>
      <c r="G277" s="3"/>
      <c r="H277" s="3"/>
      <c r="I277" s="170"/>
      <c r="J277" s="170"/>
    </row>
    <row r="278" spans="3:10" x14ac:dyDescent="0.35">
      <c r="C278" s="3"/>
      <c r="D278" s="3"/>
      <c r="E278" s="3"/>
      <c r="F278" s="3"/>
      <c r="G278" s="3"/>
      <c r="H278" s="3"/>
      <c r="I278" s="170"/>
      <c r="J278" s="170"/>
    </row>
    <row r="279" spans="3:10" x14ac:dyDescent="0.35">
      <c r="C279" s="3"/>
      <c r="D279" s="3"/>
      <c r="E279" s="3"/>
      <c r="F279" s="3"/>
      <c r="G279" s="3"/>
      <c r="H279" s="3"/>
      <c r="I279" s="170"/>
      <c r="J279" s="170"/>
    </row>
    <row r="280" spans="3:10" x14ac:dyDescent="0.35">
      <c r="C280" s="3"/>
      <c r="D280" s="3"/>
      <c r="E280" s="3"/>
      <c r="F280" s="3"/>
      <c r="G280" s="3"/>
      <c r="H280" s="3"/>
      <c r="I280" s="170"/>
      <c r="J280" s="170"/>
    </row>
    <row r="281" spans="3:10" x14ac:dyDescent="0.35">
      <c r="C281" s="3"/>
      <c r="D281" s="3"/>
      <c r="E281" s="3"/>
      <c r="F281" s="3"/>
      <c r="G281" s="3"/>
      <c r="H281" s="3"/>
      <c r="I281" s="170"/>
      <c r="J281" s="170"/>
    </row>
    <row r="282" spans="3:10" x14ac:dyDescent="0.35">
      <c r="C282" s="3"/>
      <c r="D282" s="3"/>
      <c r="E282" s="3"/>
      <c r="F282" s="3"/>
      <c r="G282" s="3"/>
      <c r="H282" s="3"/>
      <c r="I282" s="170"/>
      <c r="J282" s="170"/>
    </row>
    <row r="283" spans="3:10" x14ac:dyDescent="0.35">
      <c r="C283" s="3"/>
      <c r="D283" s="3"/>
      <c r="E283" s="3"/>
      <c r="F283" s="3"/>
      <c r="G283" s="3"/>
      <c r="H283" s="3"/>
      <c r="I283" s="170"/>
      <c r="J283" s="170"/>
    </row>
    <row r="284" spans="3:10" x14ac:dyDescent="0.35">
      <c r="C284" s="3"/>
      <c r="D284" s="3"/>
      <c r="E284" s="3"/>
      <c r="F284" s="3"/>
      <c r="G284" s="3"/>
      <c r="H284" s="3"/>
      <c r="I284" s="170"/>
      <c r="J284" s="170"/>
    </row>
    <row r="285" spans="3:10" x14ac:dyDescent="0.35">
      <c r="C285" s="3"/>
      <c r="D285" s="3"/>
      <c r="E285" s="3"/>
      <c r="F285" s="3"/>
      <c r="G285" s="3"/>
      <c r="H285" s="3"/>
      <c r="I285" s="170"/>
      <c r="J285" s="170"/>
    </row>
    <row r="286" spans="3:10" x14ac:dyDescent="0.35">
      <c r="C286" s="3"/>
      <c r="D286" s="3"/>
      <c r="E286" s="3"/>
      <c r="F286" s="3"/>
      <c r="G286" s="3"/>
      <c r="H286" s="3"/>
      <c r="I286" s="170"/>
      <c r="J286" s="170"/>
    </row>
    <row r="287" spans="3:10" x14ac:dyDescent="0.35">
      <c r="C287" s="3"/>
      <c r="D287" s="3"/>
      <c r="E287" s="3"/>
      <c r="F287" s="3"/>
      <c r="G287" s="3"/>
      <c r="H287" s="3"/>
      <c r="I287" s="170"/>
      <c r="J287" s="170"/>
    </row>
    <row r="288" spans="3:10" x14ac:dyDescent="0.35">
      <c r="C288" s="3"/>
      <c r="D288" s="3"/>
      <c r="E288" s="3"/>
      <c r="F288" s="3"/>
      <c r="G288" s="3"/>
      <c r="H288" s="3"/>
      <c r="I288" s="170"/>
      <c r="J288" s="170"/>
    </row>
    <row r="289" spans="3:10" x14ac:dyDescent="0.35">
      <c r="C289" s="3"/>
      <c r="D289" s="3"/>
      <c r="E289" s="3"/>
      <c r="F289" s="3"/>
      <c r="G289" s="3"/>
      <c r="H289" s="3"/>
      <c r="I289" s="170"/>
      <c r="J289" s="170"/>
    </row>
    <row r="290" spans="3:10" x14ac:dyDescent="0.35">
      <c r="C290" s="3"/>
      <c r="D290" s="3"/>
      <c r="E290" s="3"/>
      <c r="F290" s="3"/>
      <c r="G290" s="3"/>
      <c r="H290" s="3"/>
      <c r="I290" s="170"/>
      <c r="J290" s="170"/>
    </row>
    <row r="291" spans="3:10" x14ac:dyDescent="0.35">
      <c r="C291" s="3"/>
      <c r="D291" s="3"/>
      <c r="E291" s="3"/>
      <c r="F291" s="3"/>
      <c r="G291" s="3"/>
      <c r="H291" s="3"/>
      <c r="I291" s="170"/>
      <c r="J291" s="170"/>
    </row>
    <row r="292" spans="3:10" x14ac:dyDescent="0.35">
      <c r="C292" s="3"/>
      <c r="D292" s="3"/>
      <c r="E292" s="3"/>
      <c r="F292" s="3"/>
      <c r="G292" s="3"/>
      <c r="H292" s="3"/>
      <c r="I292" s="170"/>
      <c r="J292" s="170"/>
    </row>
    <row r="293" spans="3:10" x14ac:dyDescent="0.35">
      <c r="C293" s="3"/>
      <c r="D293" s="3"/>
      <c r="E293" s="3"/>
      <c r="F293" s="3"/>
      <c r="G293" s="3"/>
      <c r="H293" s="3"/>
      <c r="I293" s="170"/>
      <c r="J293" s="170"/>
    </row>
    <row r="294" spans="3:10" x14ac:dyDescent="0.35">
      <c r="C294" s="3"/>
      <c r="D294" s="3"/>
      <c r="E294" s="3"/>
      <c r="F294" s="3"/>
      <c r="G294" s="3"/>
      <c r="H294" s="3"/>
      <c r="I294" s="170"/>
      <c r="J294" s="170"/>
    </row>
    <row r="295" spans="3:10" x14ac:dyDescent="0.35">
      <c r="C295" s="3"/>
      <c r="D295" s="3"/>
      <c r="E295" s="3"/>
      <c r="F295" s="3"/>
      <c r="G295" s="3"/>
      <c r="H295" s="3"/>
      <c r="I295" s="170"/>
      <c r="J295" s="170"/>
    </row>
    <row r="296" spans="3:10" x14ac:dyDescent="0.35">
      <c r="C296" s="3"/>
      <c r="D296" s="3"/>
      <c r="E296" s="3"/>
      <c r="F296" s="3"/>
      <c r="G296" s="3"/>
      <c r="H296" s="3"/>
      <c r="I296" s="170"/>
      <c r="J296" s="170"/>
    </row>
    <row r="297" spans="3:10" x14ac:dyDescent="0.35">
      <c r="C297" s="3"/>
      <c r="D297" s="3"/>
      <c r="E297" s="3"/>
      <c r="F297" s="3"/>
      <c r="G297" s="3"/>
      <c r="H297" s="3"/>
      <c r="I297" s="170"/>
      <c r="J297" s="170"/>
    </row>
    <row r="298" spans="3:10" x14ac:dyDescent="0.35">
      <c r="C298" s="3"/>
      <c r="D298" s="3"/>
      <c r="E298" s="3"/>
      <c r="F298" s="3"/>
      <c r="G298" s="3"/>
      <c r="H298" s="3"/>
      <c r="I298" s="170"/>
      <c r="J298" s="170"/>
    </row>
    <row r="299" spans="3:10" x14ac:dyDescent="0.35">
      <c r="C299" s="3"/>
      <c r="D299" s="3"/>
      <c r="E299" s="3"/>
      <c r="F299" s="3"/>
      <c r="G299" s="3"/>
      <c r="H299" s="3"/>
      <c r="I299" s="170"/>
      <c r="J299" s="170"/>
    </row>
    <row r="300" spans="3:10" x14ac:dyDescent="0.35">
      <c r="C300" s="3"/>
      <c r="D300" s="3"/>
      <c r="E300" s="3"/>
      <c r="F300" s="3"/>
      <c r="G300" s="3"/>
      <c r="H300" s="3"/>
      <c r="I300" s="170"/>
      <c r="J300" s="170"/>
    </row>
    <row r="301" spans="3:10" x14ac:dyDescent="0.35">
      <c r="C301" s="3"/>
      <c r="D301" s="3"/>
      <c r="E301" s="3"/>
      <c r="F301" s="3"/>
      <c r="G301" s="3"/>
      <c r="H301" s="3"/>
      <c r="I301" s="170"/>
      <c r="J301" s="170"/>
    </row>
    <row r="302" spans="3:10" x14ac:dyDescent="0.35">
      <c r="C302" s="3"/>
      <c r="D302" s="3"/>
      <c r="E302" s="3"/>
      <c r="F302" s="3"/>
      <c r="G302" s="3"/>
      <c r="H302" s="3"/>
      <c r="I302" s="170"/>
      <c r="J302" s="170"/>
    </row>
    <row r="303" spans="3:10" x14ac:dyDescent="0.35">
      <c r="C303" s="3"/>
      <c r="D303" s="3"/>
      <c r="E303" s="3"/>
      <c r="F303" s="3"/>
      <c r="G303" s="3"/>
      <c r="H303" s="3"/>
      <c r="I303" s="170"/>
      <c r="J303" s="170"/>
    </row>
    <row r="304" spans="3:10" x14ac:dyDescent="0.35">
      <c r="C304" s="3"/>
      <c r="D304" s="3"/>
      <c r="E304" s="3"/>
      <c r="F304" s="3"/>
      <c r="G304" s="3"/>
      <c r="H304" s="3"/>
      <c r="I304" s="170"/>
      <c r="J304" s="170"/>
    </row>
  </sheetData>
  <conditionalFormatting sqref="CC21:CG21">
    <cfRule type="cellIs" dxfId="1" priority="3" operator="greaterThan">
      <formula>280</formula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CH21">
    <cfRule type="cellIs" dxfId="0" priority="1" operator="greaterThan">
      <formula>280</formula>
    </cfRule>
    <cfRule type="colorScale" priority="2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587C8-04D0-4DDA-B224-0DB9C25516A4}">
  <sheetPr>
    <tabColor rgb="FF92D050"/>
  </sheetPr>
  <dimension ref="C2:AC34"/>
  <sheetViews>
    <sheetView topLeftCell="A7" workbookViewId="0">
      <selection activeCell="E5" sqref="E5"/>
    </sheetView>
  </sheetViews>
  <sheetFormatPr defaultRowHeight="14.5" x14ac:dyDescent="0.35"/>
  <cols>
    <col min="3" max="3" width="19.08984375" customWidth="1"/>
    <col min="4" max="4" width="16.453125" bestFit="1" customWidth="1"/>
    <col min="16" max="16" width="16.453125" bestFit="1" customWidth="1"/>
    <col min="21" max="21" width="15.453125" bestFit="1" customWidth="1"/>
  </cols>
  <sheetData>
    <row r="2" spans="3:29" x14ac:dyDescent="0.35">
      <c r="K2" t="s">
        <v>279</v>
      </c>
      <c r="P2" t="s">
        <v>310</v>
      </c>
    </row>
    <row r="3" spans="3:29" x14ac:dyDescent="0.35">
      <c r="C3" t="str">
        <f>GasesSummary!CB7</f>
        <v>GWP100</v>
      </c>
      <c r="D3" t="str">
        <f>GasesSummary!CC7</f>
        <v>E51%-A51%</v>
      </c>
      <c r="E3" t="str">
        <f>GasesSummary!CD7</f>
        <v>E57%-A40%</v>
      </c>
      <c r="F3" t="str">
        <f>GasesSummary!CE7</f>
        <v>E61%-A33%</v>
      </c>
      <c r="G3" t="str">
        <f>GasesSummary!CF7</f>
        <v>E65%-A26%</v>
      </c>
      <c r="H3" t="str">
        <f>GasesSummary!CG7</f>
        <v>E69%-A19%</v>
      </c>
      <c r="I3" t="s">
        <v>307</v>
      </c>
      <c r="K3" t="str">
        <f>D3</f>
        <v>E51%-A51%</v>
      </c>
      <c r="L3" t="str">
        <f t="shared" ref="L3:N3" si="0">E3</f>
        <v>E57%-A40%</v>
      </c>
      <c r="M3" t="str">
        <f t="shared" si="0"/>
        <v>E61%-A33%</v>
      </c>
      <c r="N3" t="str">
        <f t="shared" si="0"/>
        <v>E65%-A26%</v>
      </c>
      <c r="O3" t="str">
        <f>C3</f>
        <v>GWP100</v>
      </c>
      <c r="P3" t="str">
        <f>K3</f>
        <v>E51%-A51%</v>
      </c>
      <c r="Q3" t="str">
        <f t="shared" ref="Q3:S3" si="1">L3</f>
        <v>E57%-A40%</v>
      </c>
      <c r="R3" t="str">
        <f t="shared" si="1"/>
        <v>E61%-A33%</v>
      </c>
      <c r="S3" t="str">
        <f t="shared" si="1"/>
        <v>E65%-A26%</v>
      </c>
      <c r="T3" t="s">
        <v>307</v>
      </c>
    </row>
    <row r="4" spans="3:29" x14ac:dyDescent="0.35">
      <c r="C4" t="str">
        <f>GasesSummary!CB8</f>
        <v>CB1</v>
      </c>
      <c r="D4" s="86">
        <f>GasesSummary!CC8</f>
        <v>294.79979576368282</v>
      </c>
      <c r="E4" s="86">
        <f>GasesSummary!CD8</f>
        <v>295.91073133648916</v>
      </c>
      <c r="F4" s="86">
        <f>GasesSummary!CE8</f>
        <v>296.46310500226218</v>
      </c>
      <c r="G4" s="86">
        <f>GasesSummary!CF8</f>
        <v>296.91521791612416</v>
      </c>
      <c r="H4" s="86">
        <f>GasesSummary!CG8</f>
        <v>291.14861930553627</v>
      </c>
      <c r="I4" s="86">
        <f>AVERAGE(D4:H4)</f>
        <v>295.04749386481888</v>
      </c>
      <c r="K4" s="2">
        <f>'LULUCF Models'!Q33/1000</f>
        <v>24.292704152899461</v>
      </c>
      <c r="L4" s="2">
        <f>K4</f>
        <v>24.292704152899461</v>
      </c>
      <c r="M4" s="2">
        <f t="shared" ref="M4:N4" si="2">L4</f>
        <v>24.292704152899461</v>
      </c>
      <c r="N4" s="2">
        <f t="shared" si="2"/>
        <v>24.292704152899461</v>
      </c>
      <c r="O4" t="str">
        <f t="shared" ref="O4:O10" si="3">C4</f>
        <v>CB1</v>
      </c>
      <c r="P4" s="90">
        <f>D4-K4</f>
        <v>270.50709161078339</v>
      </c>
      <c r="Q4" s="90">
        <f t="shared" ref="Q4:Q10" si="4">E4-L4</f>
        <v>271.61802718358967</v>
      </c>
      <c r="R4" s="90">
        <f t="shared" ref="R4:R10" si="5">F4-M4</f>
        <v>272.17040084936275</v>
      </c>
      <c r="S4" s="90">
        <f t="shared" ref="S4:S10" si="6">G4-N4</f>
        <v>272.62251376322467</v>
      </c>
      <c r="T4" s="90">
        <f>AVERAGE(P4:S4)</f>
        <v>271.72950835174015</v>
      </c>
      <c r="U4" s="120">
        <f>I4-T4</f>
        <v>23.317985513078725</v>
      </c>
      <c r="W4" s="86"/>
      <c r="X4" s="86"/>
      <c r="Y4" s="86"/>
      <c r="Z4" s="86"/>
      <c r="AA4" s="86"/>
      <c r="AB4" s="86"/>
      <c r="AC4" s="86"/>
    </row>
    <row r="5" spans="3:29" x14ac:dyDescent="0.35">
      <c r="C5" t="str">
        <f>GasesSummary!CB9</f>
        <v>CB2</v>
      </c>
      <c r="D5" s="86">
        <f>GasesSummary!CC9</f>
        <v>199.96375276248429</v>
      </c>
      <c r="E5" s="86">
        <f>GasesSummary!CD9</f>
        <v>199.9094843786732</v>
      </c>
      <c r="F5" s="86">
        <f>GasesSummary!CE9</f>
        <v>199.37390652766783</v>
      </c>
      <c r="G5" s="86">
        <f>GasesSummary!CF9</f>
        <v>198.65532846929113</v>
      </c>
      <c r="H5" s="86">
        <f>GasesSummary!CG9</f>
        <v>201.14605180791284</v>
      </c>
      <c r="I5" s="86">
        <f>AVERAGE(D5:H5)</f>
        <v>199.80970478920585</v>
      </c>
      <c r="K5" s="2">
        <f>'LULUCF Models'!Q34/1000</f>
        <v>12.899072573857113</v>
      </c>
      <c r="L5" s="2">
        <f>K5</f>
        <v>12.899072573857113</v>
      </c>
      <c r="M5" s="2">
        <f t="shared" ref="M5:N5" si="7">L5</f>
        <v>12.899072573857113</v>
      </c>
      <c r="N5" s="2">
        <f t="shared" si="7"/>
        <v>12.899072573857113</v>
      </c>
      <c r="O5" t="str">
        <f t="shared" si="3"/>
        <v>CB2</v>
      </c>
      <c r="P5" s="90">
        <f t="shared" ref="P5:P10" si="8">D5-K5</f>
        <v>187.06468018862716</v>
      </c>
      <c r="Q5" s="90">
        <f t="shared" si="4"/>
        <v>187.01041180481607</v>
      </c>
      <c r="R5" s="90">
        <f t="shared" si="5"/>
        <v>186.4748339538107</v>
      </c>
      <c r="S5" s="90">
        <f t="shared" si="6"/>
        <v>185.75625589543401</v>
      </c>
      <c r="T5" s="90">
        <f t="shared" ref="T5:T10" si="9">AVERAGE(P5:S5)</f>
        <v>186.57654546067201</v>
      </c>
      <c r="U5" s="120">
        <f>I5-T5</f>
        <v>13.233159328533844</v>
      </c>
      <c r="W5" s="86"/>
      <c r="X5" s="86"/>
      <c r="Y5" s="86"/>
      <c r="Z5" s="86"/>
      <c r="AA5" s="86"/>
      <c r="AB5" s="86"/>
      <c r="AC5" s="86"/>
    </row>
    <row r="6" spans="3:29" x14ac:dyDescent="0.35">
      <c r="C6" t="s">
        <v>231</v>
      </c>
      <c r="D6" s="86">
        <f>SUM(D4:D5)</f>
        <v>494.76354852616714</v>
      </c>
      <c r="E6" s="86">
        <f t="shared" ref="E6:H6" si="10">SUM(E4:E5)</f>
        <v>495.82021571516236</v>
      </c>
      <c r="F6" s="86">
        <f t="shared" si="10"/>
        <v>495.83701152993001</v>
      </c>
      <c r="G6" s="86">
        <f t="shared" si="10"/>
        <v>495.5705463854153</v>
      </c>
      <c r="H6" s="86">
        <f t="shared" si="10"/>
        <v>492.29467111344911</v>
      </c>
      <c r="I6" s="86">
        <f t="shared" ref="I6" si="11">AVERAGE(D6:H6)</f>
        <v>494.85719865402478</v>
      </c>
      <c r="K6" s="2">
        <f>SUM(K4:K5)</f>
        <v>37.191776726756572</v>
      </c>
      <c r="L6" s="2">
        <f t="shared" ref="L6:N6" si="12">SUM(L4:L5)</f>
        <v>37.191776726756572</v>
      </c>
      <c r="M6" s="2">
        <f t="shared" si="12"/>
        <v>37.191776726756572</v>
      </c>
      <c r="N6" s="2">
        <f t="shared" si="12"/>
        <v>37.191776726756572</v>
      </c>
      <c r="O6" t="str">
        <f t="shared" si="3"/>
        <v>2021-2030</v>
      </c>
      <c r="P6" s="90">
        <f t="shared" si="8"/>
        <v>457.57177179941056</v>
      </c>
      <c r="Q6" s="90">
        <f t="shared" si="4"/>
        <v>458.62843898840578</v>
      </c>
      <c r="R6" s="90">
        <f t="shared" si="5"/>
        <v>458.64523480317342</v>
      </c>
      <c r="S6" s="90">
        <f t="shared" si="6"/>
        <v>458.37876965865871</v>
      </c>
      <c r="T6" s="90">
        <f t="shared" si="9"/>
        <v>458.30605381241213</v>
      </c>
      <c r="U6" s="2">
        <f t="shared" ref="U6:U10" si="13">I6-T6</f>
        <v>36.551144841612654</v>
      </c>
      <c r="W6" s="86"/>
      <c r="X6" s="86"/>
      <c r="Y6" s="86"/>
      <c r="Z6" s="86"/>
      <c r="AA6" s="86"/>
      <c r="AB6" s="86"/>
      <c r="AC6" s="86"/>
    </row>
    <row r="7" spans="3:29" x14ac:dyDescent="0.35">
      <c r="C7" t="str">
        <f>GasesSummary!CB10</f>
        <v>CB3</v>
      </c>
      <c r="D7" s="86">
        <f>GasesSummary!CC10</f>
        <v>148.73126413008072</v>
      </c>
      <c r="E7" s="86">
        <f>GasesSummary!CD10</f>
        <v>150.83874714844163</v>
      </c>
      <c r="F7" s="86">
        <f>GasesSummary!CE10</f>
        <v>151.87250897216518</v>
      </c>
      <c r="G7" s="86">
        <f>GasesSummary!CF10</f>
        <v>152.90213382311572</v>
      </c>
      <c r="H7" s="86">
        <f>GasesSummary!CG10</f>
        <v>151.43895694070352</v>
      </c>
      <c r="I7" s="86">
        <f>AVERAGE(D7:H7)</f>
        <v>151.15672220290134</v>
      </c>
      <c r="K7" s="68">
        <f>TIM_Output!AW3/1000</f>
        <v>8.2207700733340392</v>
      </c>
      <c r="L7" s="68">
        <f>TIM_Output!AX3/1000</f>
        <v>8.2207700733340392</v>
      </c>
      <c r="M7" s="68">
        <f>TIM_Output!AY3/1000</f>
        <v>8.2207700733340392</v>
      </c>
      <c r="N7" s="2">
        <f>TIM_Output!AZ3/1000</f>
        <v>8.2207700733340392</v>
      </c>
      <c r="O7" t="str">
        <f t="shared" si="3"/>
        <v>CB3</v>
      </c>
      <c r="P7" s="90">
        <f t="shared" si="8"/>
        <v>140.51049405674667</v>
      </c>
      <c r="Q7" s="90">
        <f t="shared" si="4"/>
        <v>142.61797707510758</v>
      </c>
      <c r="R7" s="90">
        <f t="shared" si="5"/>
        <v>143.65173889883113</v>
      </c>
      <c r="S7" s="90">
        <f t="shared" si="6"/>
        <v>144.68136374978167</v>
      </c>
      <c r="T7" s="90">
        <f t="shared" si="9"/>
        <v>142.86539344511675</v>
      </c>
      <c r="U7" s="120">
        <f t="shared" si="13"/>
        <v>8.2913287577845836</v>
      </c>
      <c r="W7" s="86"/>
      <c r="X7" s="86"/>
      <c r="Y7" s="86"/>
      <c r="Z7" s="86"/>
      <c r="AA7" s="86"/>
      <c r="AB7" s="86"/>
      <c r="AC7" s="86"/>
    </row>
    <row r="8" spans="3:29" x14ac:dyDescent="0.35">
      <c r="C8" t="s">
        <v>232</v>
      </c>
      <c r="D8" s="86">
        <f>D7+D6</f>
        <v>643.49481265624786</v>
      </c>
      <c r="E8" s="86">
        <f t="shared" ref="E8:H8" si="14">E7+E6</f>
        <v>646.65896286360396</v>
      </c>
      <c r="F8" s="86">
        <f t="shared" si="14"/>
        <v>647.70952050209519</v>
      </c>
      <c r="G8" s="86">
        <f t="shared" si="14"/>
        <v>648.47268020853107</v>
      </c>
      <c r="H8" s="86">
        <f t="shared" si="14"/>
        <v>643.73362805415263</v>
      </c>
      <c r="I8" s="86">
        <f>AVERAGE(D8:H8)</f>
        <v>646.01392085692612</v>
      </c>
      <c r="K8" s="2">
        <f>K7+K6</f>
        <v>45.41254680009061</v>
      </c>
      <c r="L8" s="2">
        <f t="shared" ref="L8:N8" si="15">L7+L6</f>
        <v>45.41254680009061</v>
      </c>
      <c r="M8" s="2">
        <f t="shared" si="15"/>
        <v>45.41254680009061</v>
      </c>
      <c r="N8" s="2">
        <f t="shared" si="15"/>
        <v>45.41254680009061</v>
      </c>
      <c r="O8" t="str">
        <f t="shared" si="3"/>
        <v>2021-2035</v>
      </c>
      <c r="P8" s="90">
        <f t="shared" si="8"/>
        <v>598.08226585615728</v>
      </c>
      <c r="Q8" s="90">
        <f t="shared" si="4"/>
        <v>601.24641606351338</v>
      </c>
      <c r="R8" s="90">
        <f t="shared" si="5"/>
        <v>602.29697370200461</v>
      </c>
      <c r="S8" s="90">
        <f t="shared" si="6"/>
        <v>603.06013340844049</v>
      </c>
      <c r="T8" s="90">
        <f t="shared" si="9"/>
        <v>601.17144725752894</v>
      </c>
      <c r="U8" s="2">
        <f t="shared" si="13"/>
        <v>44.842473599397181</v>
      </c>
      <c r="W8" s="86"/>
      <c r="X8" s="86"/>
      <c r="Y8" s="86"/>
      <c r="Z8" s="86"/>
      <c r="AA8" s="86"/>
      <c r="AB8" s="86"/>
      <c r="AC8" s="86"/>
    </row>
    <row r="9" spans="3:29" x14ac:dyDescent="0.35">
      <c r="C9" t="str">
        <f>GasesSummary!CB11</f>
        <v>2036-2050</v>
      </c>
      <c r="D9" s="86">
        <f>GasesSummary!CC11</f>
        <v>259.22351042768975</v>
      </c>
      <c r="E9" s="86">
        <f>GasesSummary!CD11</f>
        <v>278.28422079619213</v>
      </c>
      <c r="F9" s="86">
        <f>GasesSummary!CE11</f>
        <v>290.03407914610045</v>
      </c>
      <c r="G9" s="86">
        <f>GasesSummary!CF11</f>
        <v>301.77882711787754</v>
      </c>
      <c r="H9" s="86">
        <f>GasesSummary!CG11</f>
        <v>311.19229308982949</v>
      </c>
      <c r="I9" s="86">
        <f>AVERAGE(D9:H9)</f>
        <v>288.10258611553786</v>
      </c>
      <c r="K9" s="2">
        <f>TIM_Output!AW4/1000</f>
        <v>10.155068914118512</v>
      </c>
      <c r="L9" s="2">
        <f>TIM_Output!AX4/1000</f>
        <v>10.155068914118512</v>
      </c>
      <c r="M9" s="2">
        <f>TIM_Output!AY4/1000</f>
        <v>10.155068914118512</v>
      </c>
      <c r="N9" s="2">
        <f>TIM_Output!AZ4/1000</f>
        <v>10.155068914118512</v>
      </c>
      <c r="O9" t="str">
        <f t="shared" si="3"/>
        <v>2036-2050</v>
      </c>
      <c r="P9" s="90">
        <f t="shared" si="8"/>
        <v>249.06844151357123</v>
      </c>
      <c r="Q9" s="90">
        <f t="shared" si="4"/>
        <v>268.12915188207364</v>
      </c>
      <c r="R9" s="90">
        <f t="shared" si="5"/>
        <v>279.87901023198197</v>
      </c>
      <c r="S9" s="90">
        <f t="shared" si="6"/>
        <v>291.62375820375905</v>
      </c>
      <c r="T9" s="90">
        <f t="shared" si="9"/>
        <v>272.17509045784647</v>
      </c>
      <c r="U9" s="2">
        <f t="shared" si="13"/>
        <v>15.927495657691395</v>
      </c>
      <c r="W9" s="86"/>
      <c r="X9" s="86"/>
      <c r="Y9" s="86"/>
      <c r="Z9" s="86"/>
      <c r="AA9" s="86"/>
      <c r="AB9" s="86"/>
      <c r="AC9" s="86"/>
    </row>
    <row r="10" spans="3:29" x14ac:dyDescent="0.35">
      <c r="C10" t="str">
        <f>GasesSummary!CB12</f>
        <v>Total 2050</v>
      </c>
      <c r="D10" s="86">
        <f>GasesSummary!CC12</f>
        <v>902.71832308393766</v>
      </c>
      <c r="E10" s="86">
        <f>GasesSummary!CD12</f>
        <v>924.94318365979609</v>
      </c>
      <c r="F10" s="86">
        <f>GasesSummary!CE12</f>
        <v>937.74359964819564</v>
      </c>
      <c r="G10" s="86">
        <f>GasesSummary!CF12</f>
        <v>950.25150732640873</v>
      </c>
      <c r="H10" s="86">
        <f>GasesSummary!CG12</f>
        <v>954.92592114398201</v>
      </c>
      <c r="I10" s="86">
        <f>AVERAGE(D10:H10)</f>
        <v>934.11650697246409</v>
      </c>
      <c r="K10" s="2">
        <f>K9+K8</f>
        <v>55.567615714209126</v>
      </c>
      <c r="L10" s="2">
        <f t="shared" ref="L10:N10" si="16">L9+L8</f>
        <v>55.567615714209126</v>
      </c>
      <c r="M10" s="2">
        <f t="shared" si="16"/>
        <v>55.567615714209126</v>
      </c>
      <c r="N10" s="2">
        <f t="shared" si="16"/>
        <v>55.567615714209126</v>
      </c>
      <c r="O10" t="str">
        <f t="shared" si="3"/>
        <v>Total 2050</v>
      </c>
      <c r="P10" s="90">
        <f t="shared" si="8"/>
        <v>847.15070736972848</v>
      </c>
      <c r="Q10" s="90">
        <f t="shared" si="4"/>
        <v>869.37556794558691</v>
      </c>
      <c r="R10" s="90">
        <f t="shared" si="5"/>
        <v>882.17598393398657</v>
      </c>
      <c r="S10" s="90">
        <f t="shared" si="6"/>
        <v>894.68389161219966</v>
      </c>
      <c r="T10" s="90">
        <f t="shared" si="9"/>
        <v>873.34653771537546</v>
      </c>
      <c r="U10" s="2">
        <f t="shared" si="13"/>
        <v>60.769969257088633</v>
      </c>
    </row>
    <row r="12" spans="3:29" ht="15" thickBot="1" x14ac:dyDescent="0.4">
      <c r="D12" t="s">
        <v>6</v>
      </c>
      <c r="E12" t="s">
        <v>253</v>
      </c>
      <c r="F12" t="s">
        <v>254</v>
      </c>
      <c r="H12" t="s">
        <v>255</v>
      </c>
      <c r="O12" t="s">
        <v>6</v>
      </c>
      <c r="P12" t="s">
        <v>253</v>
      </c>
      <c r="Q12" t="s">
        <v>254</v>
      </c>
      <c r="R12" t="s">
        <v>231</v>
      </c>
      <c r="S12" t="s">
        <v>255</v>
      </c>
      <c r="T12" t="s">
        <v>232</v>
      </c>
    </row>
    <row r="13" spans="3:29" ht="44" thickBot="1" x14ac:dyDescent="0.4">
      <c r="C13" s="104" t="s">
        <v>300</v>
      </c>
      <c r="D13" t="s">
        <v>260</v>
      </c>
      <c r="E13" s="108">
        <f>D4</f>
        <v>294.79979576368282</v>
      </c>
      <c r="F13" s="94">
        <f>D5</f>
        <v>199.96375276248429</v>
      </c>
      <c r="G13" s="86">
        <f>SUM(E13:F13)</f>
        <v>494.76354852616714</v>
      </c>
      <c r="H13" s="109">
        <f>D7</f>
        <v>148.73126413008072</v>
      </c>
      <c r="I13" s="86">
        <f>H13+G13</f>
        <v>643.49481265624786</v>
      </c>
      <c r="N13" s="104" t="str">
        <f>C13</f>
        <v>Scenario 1: E51-A51</v>
      </c>
      <c r="O13" t="s">
        <v>260</v>
      </c>
      <c r="P13" s="108">
        <f>P4</f>
        <v>270.50709161078339</v>
      </c>
      <c r="Q13" s="94">
        <f>P5</f>
        <v>187.06468018862716</v>
      </c>
      <c r="R13" s="86">
        <f t="shared" ref="R13:R16" si="17">SUM(P13:Q13)</f>
        <v>457.57177179941056</v>
      </c>
      <c r="S13" s="109">
        <f>P7</f>
        <v>140.51049405674667</v>
      </c>
      <c r="T13" s="86">
        <f>S13+R13</f>
        <v>598.08226585615716</v>
      </c>
      <c r="U13" s="86"/>
      <c r="V13" s="86"/>
    </row>
    <row r="14" spans="3:29" ht="44" thickBot="1" x14ac:dyDescent="0.4">
      <c r="C14" s="105" t="s">
        <v>301</v>
      </c>
      <c r="D14" t="s">
        <v>261</v>
      </c>
      <c r="E14" s="108">
        <f>E4</f>
        <v>295.91073133648916</v>
      </c>
      <c r="F14" s="94">
        <f>E5</f>
        <v>199.9094843786732</v>
      </c>
      <c r="G14" s="86">
        <f t="shared" ref="G14:G17" si="18">SUM(E14:F14)</f>
        <v>495.82021571516236</v>
      </c>
      <c r="H14" s="109">
        <f>E7</f>
        <v>150.83874714844163</v>
      </c>
      <c r="I14" s="86">
        <f t="shared" ref="I14:I17" si="19">H14+G14</f>
        <v>646.65896286360396</v>
      </c>
      <c r="N14" s="105" t="str">
        <f t="shared" ref="N14:N16" si="20">C14</f>
        <v>Scenario 2: E57-A40</v>
      </c>
      <c r="O14" t="s">
        <v>261</v>
      </c>
      <c r="P14" s="108">
        <f>Q4</f>
        <v>271.61802718358967</v>
      </c>
      <c r="Q14" s="94">
        <f>Q5</f>
        <v>187.01041180481607</v>
      </c>
      <c r="R14" s="86">
        <f t="shared" si="17"/>
        <v>458.62843898840572</v>
      </c>
      <c r="S14" s="109">
        <f>Q7</f>
        <v>142.61797707510758</v>
      </c>
      <c r="T14" s="86">
        <f t="shared" ref="T14:T16" si="21">S14+R14</f>
        <v>601.24641606351327</v>
      </c>
      <c r="U14" s="86"/>
      <c r="V14" s="86"/>
    </row>
    <row r="15" spans="3:29" ht="44" thickBot="1" x14ac:dyDescent="0.4">
      <c r="C15" s="106" t="s">
        <v>302</v>
      </c>
      <c r="D15" t="s">
        <v>262</v>
      </c>
      <c r="E15" s="108">
        <f>F4</f>
        <v>296.46310500226218</v>
      </c>
      <c r="F15" s="94">
        <f>F5</f>
        <v>199.37390652766783</v>
      </c>
      <c r="G15" s="86">
        <f t="shared" si="18"/>
        <v>495.83701152993001</v>
      </c>
      <c r="H15" s="109">
        <f>F7</f>
        <v>151.87250897216518</v>
      </c>
      <c r="I15" s="86">
        <f t="shared" si="19"/>
        <v>647.70952050209519</v>
      </c>
      <c r="N15" s="106" t="str">
        <f t="shared" si="20"/>
        <v>Scenario 3: E61-A33</v>
      </c>
      <c r="O15" t="s">
        <v>262</v>
      </c>
      <c r="P15" s="108">
        <f>R4</f>
        <v>272.17040084936275</v>
      </c>
      <c r="Q15" s="94">
        <f>R5</f>
        <v>186.4748339538107</v>
      </c>
      <c r="R15" s="86">
        <f t="shared" si="17"/>
        <v>458.64523480317348</v>
      </c>
      <c r="S15" s="109">
        <f>R7</f>
        <v>143.65173889883113</v>
      </c>
      <c r="T15" s="86">
        <f t="shared" si="21"/>
        <v>602.29697370200461</v>
      </c>
      <c r="U15" s="86"/>
      <c r="V15" s="86"/>
    </row>
    <row r="16" spans="3:29" ht="44" thickBot="1" x14ac:dyDescent="0.4">
      <c r="C16" s="105" t="s">
        <v>303</v>
      </c>
      <c r="D16" t="s">
        <v>263</v>
      </c>
      <c r="E16" s="108">
        <f>G4</f>
        <v>296.91521791612416</v>
      </c>
      <c r="F16" s="94">
        <f>H5</f>
        <v>201.14605180791284</v>
      </c>
      <c r="G16" s="86">
        <f t="shared" si="18"/>
        <v>498.061269724037</v>
      </c>
      <c r="H16" s="109">
        <f>H7</f>
        <v>151.43895694070352</v>
      </c>
      <c r="I16" s="86">
        <f t="shared" si="19"/>
        <v>649.50022666474047</v>
      </c>
      <c r="N16" s="105" t="str">
        <f t="shared" si="20"/>
        <v>Scenario 4: E65-A25</v>
      </c>
      <c r="O16" t="s">
        <v>308</v>
      </c>
      <c r="P16" s="108">
        <f>S4</f>
        <v>272.62251376322467</v>
      </c>
      <c r="Q16" s="94">
        <f>S5</f>
        <v>185.75625589543401</v>
      </c>
      <c r="R16" s="86">
        <f t="shared" si="17"/>
        <v>458.37876965865871</v>
      </c>
      <c r="S16" s="109">
        <f>S7</f>
        <v>144.68136374978167</v>
      </c>
      <c r="T16" s="86">
        <f t="shared" si="21"/>
        <v>603.06013340844038</v>
      </c>
      <c r="U16" s="86"/>
      <c r="V16" s="86"/>
    </row>
    <row r="17" spans="3:22" ht="15" thickBot="1" x14ac:dyDescent="0.4">
      <c r="C17" s="106" t="s">
        <v>304</v>
      </c>
      <c r="D17" t="s">
        <v>297</v>
      </c>
      <c r="E17" s="108">
        <f>H4</f>
        <v>291.14861930553627</v>
      </c>
      <c r="F17" s="94">
        <f>H5</f>
        <v>201.14605180791284</v>
      </c>
      <c r="G17" s="86">
        <f t="shared" si="18"/>
        <v>492.29467111344911</v>
      </c>
      <c r="H17" s="109">
        <f>H7</f>
        <v>151.43895694070352</v>
      </c>
      <c r="I17" s="86">
        <f t="shared" si="19"/>
        <v>643.73362805415263</v>
      </c>
      <c r="N17" s="106"/>
    </row>
    <row r="18" spans="3:22" x14ac:dyDescent="0.35">
      <c r="E18" s="122">
        <f>AVERAGE(E13:E17)</f>
        <v>295.04749386481888</v>
      </c>
      <c r="F18" s="123">
        <f>AVERAGE(F13:F17)</f>
        <v>200.3078494569302</v>
      </c>
      <c r="G18" s="124">
        <f t="shared" ref="G18:I18" si="22">AVERAGE(G13:G17)</f>
        <v>495.3553433217491</v>
      </c>
      <c r="H18" s="125">
        <f>AVERAGE(H13:H17)</f>
        <v>150.86408682641891</v>
      </c>
      <c r="I18" s="2">
        <f t="shared" si="22"/>
        <v>646.21943014816793</v>
      </c>
      <c r="O18" t="s">
        <v>307</v>
      </c>
      <c r="P18" s="108">
        <f>AVERAGE(P13:P16)</f>
        <v>271.72950835174015</v>
      </c>
      <c r="Q18" s="94">
        <f>AVERAGE(Q13:Q16)</f>
        <v>186.57654546067201</v>
      </c>
      <c r="R18" s="110">
        <f t="shared" ref="R18:T18" si="23">AVERAGE(R13:R17)</f>
        <v>458.30605381241213</v>
      </c>
      <c r="S18" s="109">
        <v>143.04610358909531</v>
      </c>
      <c r="T18" s="110">
        <f t="shared" si="23"/>
        <v>601.17144725752883</v>
      </c>
      <c r="U18" s="86"/>
      <c r="V18" s="86"/>
    </row>
    <row r="19" spans="3:22" x14ac:dyDescent="0.35">
      <c r="E19" s="86"/>
      <c r="F19" s="86"/>
      <c r="G19" s="86"/>
      <c r="H19" s="86"/>
      <c r="I19" s="86"/>
    </row>
    <row r="20" spans="3:22" x14ac:dyDescent="0.35">
      <c r="E20" s="2"/>
      <c r="F20" s="2"/>
      <c r="G20" s="2"/>
      <c r="H20" s="2"/>
      <c r="I20" s="2"/>
    </row>
    <row r="21" spans="3:22" x14ac:dyDescent="0.35">
      <c r="E21" s="2">
        <f>E18-D30</f>
        <v>270.75478971191944</v>
      </c>
      <c r="F21" s="2">
        <f t="shared" ref="F21" si="24">F18-E30</f>
        <v>187.40877688307307</v>
      </c>
      <c r="H21" s="2">
        <f>H18-F30</f>
        <v>142.57275806863433</v>
      </c>
    </row>
    <row r="24" spans="3:22" ht="15" thickBot="1" x14ac:dyDescent="0.4"/>
    <row r="25" spans="3:22" ht="29.5" thickBot="1" x14ac:dyDescent="0.4">
      <c r="C25" s="206" t="s">
        <v>315</v>
      </c>
      <c r="D25" s="111" t="s">
        <v>227</v>
      </c>
      <c r="E25" s="111" t="s">
        <v>226</v>
      </c>
      <c r="F25" s="111" t="s">
        <v>312</v>
      </c>
      <c r="N25" s="144"/>
    </row>
    <row r="26" spans="3:22" ht="15" thickBot="1" x14ac:dyDescent="0.4">
      <c r="C26" s="207"/>
      <c r="D26" s="112" t="s">
        <v>311</v>
      </c>
      <c r="E26" s="112" t="s">
        <v>311</v>
      </c>
      <c r="F26" s="112" t="s">
        <v>311</v>
      </c>
      <c r="N26" s="145"/>
    </row>
    <row r="27" spans="3:22" ht="15" thickBot="1" x14ac:dyDescent="0.4">
      <c r="C27" s="208"/>
      <c r="D27" s="113" t="s">
        <v>253</v>
      </c>
      <c r="E27" s="113" t="s">
        <v>254</v>
      </c>
      <c r="F27" s="113" t="s">
        <v>255</v>
      </c>
      <c r="N27" s="145"/>
    </row>
    <row r="28" spans="3:22" ht="15.5" thickTop="1" thickBot="1" x14ac:dyDescent="0.4">
      <c r="C28" s="114" t="s">
        <v>313</v>
      </c>
      <c r="D28" s="209">
        <f>E21</f>
        <v>270.75478971191944</v>
      </c>
      <c r="E28" s="209">
        <f>F21</f>
        <v>187.40877688307307</v>
      </c>
      <c r="F28" s="209">
        <f>H21</f>
        <v>142.57275806863433</v>
      </c>
      <c r="N28" s="145"/>
    </row>
    <row r="29" spans="3:22" ht="17" thickBot="1" x14ac:dyDescent="0.4">
      <c r="C29" s="106" t="s">
        <v>314</v>
      </c>
      <c r="D29" s="210"/>
      <c r="E29" s="210"/>
      <c r="F29" s="210"/>
      <c r="N29" s="145"/>
    </row>
    <row r="30" spans="3:22" x14ac:dyDescent="0.35">
      <c r="C30" t="s">
        <v>316</v>
      </c>
      <c r="D30" s="86">
        <f>K4</f>
        <v>24.292704152899461</v>
      </c>
      <c r="E30" s="86">
        <f>K5</f>
        <v>12.899072573857113</v>
      </c>
      <c r="F30" s="86">
        <f>U7</f>
        <v>8.2913287577845836</v>
      </c>
      <c r="H30" s="2">
        <f>SUM(D30:E30)</f>
        <v>37.191776726756572</v>
      </c>
    </row>
    <row r="31" spans="3:22" x14ac:dyDescent="0.35">
      <c r="E31" s="86">
        <f>E28+D28</f>
        <v>458.16356659499252</v>
      </c>
    </row>
    <row r="34" spans="4:6" x14ac:dyDescent="0.35">
      <c r="D34" s="86">
        <f t="shared" ref="D34:E34" si="25">SUM(D28:D30)</f>
        <v>295.04749386481888</v>
      </c>
      <c r="E34" s="86">
        <f t="shared" si="25"/>
        <v>200.3078494569302</v>
      </c>
      <c r="F34" s="86">
        <f>SUM(F28:F30)</f>
        <v>150.86408682641891</v>
      </c>
    </row>
  </sheetData>
  <mergeCells count="4">
    <mergeCell ref="C25:C27"/>
    <mergeCell ref="D28:D29"/>
    <mergeCell ref="E28:E29"/>
    <mergeCell ref="F28:F29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BB48-6346-4959-9CD2-4E7019419A00}">
  <sheetPr>
    <tabColor theme="2" tint="-9.9978637043366805E-2"/>
  </sheetPr>
  <dimension ref="A1:AW131"/>
  <sheetViews>
    <sheetView topLeftCell="A54" zoomScale="80" zoomScaleNormal="80" workbookViewId="0">
      <selection activeCell="A80" sqref="A80"/>
    </sheetView>
  </sheetViews>
  <sheetFormatPr defaultRowHeight="14.5" x14ac:dyDescent="0.35"/>
  <cols>
    <col min="8" max="8" width="12.7265625" customWidth="1"/>
    <col min="9" max="9" width="10.54296875" customWidth="1"/>
    <col min="11" max="15" width="10.453125" customWidth="1"/>
    <col min="17" max="17" width="9.7265625" customWidth="1"/>
    <col min="20" max="20" width="12.7265625" customWidth="1"/>
    <col min="23" max="23" width="15" customWidth="1"/>
    <col min="24" max="24" width="16.26953125" customWidth="1"/>
    <col min="27" max="27" width="16.54296875" customWidth="1"/>
  </cols>
  <sheetData>
    <row r="1" spans="1:46" ht="58" x14ac:dyDescent="0.35">
      <c r="B1" s="75" t="s">
        <v>208</v>
      </c>
      <c r="C1" s="3" t="s">
        <v>271</v>
      </c>
      <c r="D1" s="3" t="s">
        <v>271</v>
      </c>
      <c r="E1" s="3" t="str">
        <f>D1</f>
        <v>WAM</v>
      </c>
      <c r="I1" s="134"/>
      <c r="L1" t="s">
        <v>225</v>
      </c>
      <c r="M1">
        <f>4*M10</f>
        <v>100</v>
      </c>
      <c r="N1">
        <f>4*N10</f>
        <v>112</v>
      </c>
    </row>
    <row r="2" spans="1:46" x14ac:dyDescent="0.35">
      <c r="C2" t="e">
        <f>(C51-C5)/9</f>
        <v>#VALUE!</v>
      </c>
      <c r="D2" t="e">
        <f>(D51-D5)/9</f>
        <v>#VALUE!</v>
      </c>
      <c r="E2" t="e">
        <f>(E51-E5)/9</f>
        <v>#VALUE!</v>
      </c>
      <c r="I2" s="134"/>
      <c r="L2" t="s">
        <v>224</v>
      </c>
      <c r="M2">
        <f>3.75*M10</f>
        <v>93.75</v>
      </c>
      <c r="N2">
        <f>3.75*N10</f>
        <v>105</v>
      </c>
    </row>
    <row r="3" spans="1:46" x14ac:dyDescent="0.35">
      <c r="C3">
        <f>C60/20</f>
        <v>1.820358678737422</v>
      </c>
      <c r="I3" s="134"/>
    </row>
    <row r="4" spans="1:46" x14ac:dyDescent="0.35">
      <c r="C4" s="3" t="e">
        <f>(1-C1)</f>
        <v>#VALUE!</v>
      </c>
      <c r="D4" s="3" t="e">
        <f t="shared" ref="D4:E4" si="0">(1-D1)</f>
        <v>#VALUE!</v>
      </c>
      <c r="E4" s="3" t="e">
        <f t="shared" si="0"/>
        <v>#VALUE!</v>
      </c>
      <c r="I4" s="134"/>
      <c r="AN4" s="88"/>
    </row>
    <row r="5" spans="1:46" x14ac:dyDescent="0.35">
      <c r="A5" t="s">
        <v>0</v>
      </c>
      <c r="C5" t="e">
        <f>C48*C4</f>
        <v>#VALUE!</v>
      </c>
      <c r="D5" t="e">
        <f>D48*D4</f>
        <v>#VALUE!</v>
      </c>
      <c r="E5" t="e">
        <f>E48*E4</f>
        <v>#VALUE!</v>
      </c>
      <c r="F5">
        <f>N10</f>
        <v>28</v>
      </c>
      <c r="G5">
        <v>265</v>
      </c>
      <c r="I5" s="135"/>
      <c r="L5" t="s">
        <v>212</v>
      </c>
      <c r="M5">
        <v>0.75</v>
      </c>
      <c r="N5">
        <f>M5</f>
        <v>0.75</v>
      </c>
    </row>
    <row r="6" spans="1:46" x14ac:dyDescent="0.35">
      <c r="B6" t="s">
        <v>1</v>
      </c>
      <c r="C6" t="s">
        <v>5</v>
      </c>
      <c r="D6" t="s">
        <v>5</v>
      </c>
      <c r="E6" t="s">
        <v>5</v>
      </c>
      <c r="F6" t="s">
        <v>7</v>
      </c>
      <c r="G6" t="s">
        <v>10</v>
      </c>
      <c r="L6" t="s">
        <v>213</v>
      </c>
      <c r="M6">
        <v>0.25</v>
      </c>
      <c r="N6">
        <f t="shared" ref="N6:N8" si="1">M6</f>
        <v>0.25</v>
      </c>
    </row>
    <row r="7" spans="1:46" ht="43.5" x14ac:dyDescent="0.35">
      <c r="B7" t="s">
        <v>1</v>
      </c>
      <c r="C7" t="s">
        <v>2</v>
      </c>
      <c r="D7" t="s">
        <v>3</v>
      </c>
      <c r="E7" t="s">
        <v>4</v>
      </c>
      <c r="F7" t="str">
        <f>D7</f>
        <v>CH4</v>
      </c>
      <c r="G7" t="str">
        <f>E7</f>
        <v>N2O</v>
      </c>
      <c r="H7" t="s">
        <v>8</v>
      </c>
      <c r="J7" s="75"/>
      <c r="K7" s="75" t="s">
        <v>207</v>
      </c>
      <c r="L7" t="s">
        <v>214</v>
      </c>
      <c r="M7">
        <v>100</v>
      </c>
      <c r="N7">
        <f t="shared" si="1"/>
        <v>100</v>
      </c>
      <c r="U7" t="s">
        <v>239</v>
      </c>
      <c r="V7" t="s">
        <v>238</v>
      </c>
    </row>
    <row r="8" spans="1:46" x14ac:dyDescent="0.35">
      <c r="C8" s="2"/>
      <c r="D8" s="1"/>
      <c r="E8" s="1"/>
      <c r="F8" s="2"/>
      <c r="G8" s="2"/>
      <c r="H8" s="2"/>
      <c r="L8" t="s">
        <v>218</v>
      </c>
      <c r="M8">
        <v>20</v>
      </c>
      <c r="N8">
        <f t="shared" si="1"/>
        <v>20</v>
      </c>
      <c r="AN8" s="1"/>
      <c r="AO8" s="1"/>
      <c r="AP8" s="1"/>
      <c r="AQ8" s="2"/>
      <c r="AR8" s="1"/>
      <c r="AS8" s="2"/>
      <c r="AT8" s="2"/>
    </row>
    <row r="9" spans="1:46" x14ac:dyDescent="0.35">
      <c r="C9" s="2"/>
      <c r="D9" s="1"/>
      <c r="E9" s="1"/>
      <c r="F9" s="2"/>
      <c r="G9" s="2"/>
      <c r="H9" s="2"/>
      <c r="M9" t="s">
        <v>216</v>
      </c>
      <c r="N9" s="76" t="s">
        <v>217</v>
      </c>
      <c r="AN9" s="1"/>
      <c r="AO9" s="1"/>
      <c r="AP9" s="1"/>
      <c r="AQ9" s="2"/>
      <c r="AS9" s="2"/>
      <c r="AT9" s="2"/>
    </row>
    <row r="10" spans="1:46" x14ac:dyDescent="0.35">
      <c r="C10" s="2"/>
      <c r="D10" s="1"/>
      <c r="E10" s="1"/>
      <c r="F10" s="2"/>
      <c r="G10" s="2"/>
      <c r="H10" s="2"/>
      <c r="L10" t="s">
        <v>215</v>
      </c>
      <c r="M10">
        <v>25</v>
      </c>
      <c r="N10" s="76">
        <v>28</v>
      </c>
      <c r="AN10" s="1"/>
      <c r="AO10" s="1"/>
      <c r="AP10" s="1"/>
      <c r="AQ10" s="2"/>
      <c r="AS10" s="2"/>
      <c r="AT10" s="2"/>
    </row>
    <row r="11" spans="1:46" x14ac:dyDescent="0.35">
      <c r="C11" s="2"/>
      <c r="D11" s="1"/>
      <c r="E11" s="1"/>
      <c r="F11" s="2"/>
      <c r="G11" s="2"/>
      <c r="H11" s="2"/>
      <c r="L11" t="s">
        <v>219</v>
      </c>
      <c r="M11">
        <f>M5*M7/M8</f>
        <v>3.75</v>
      </c>
      <c r="N11" s="76">
        <f>N5*N7/N8</f>
        <v>3.75</v>
      </c>
      <c r="AN11" s="1"/>
      <c r="AO11" s="1"/>
      <c r="AP11" s="1"/>
      <c r="AQ11" s="2"/>
      <c r="AS11" s="2"/>
      <c r="AT11" s="2"/>
    </row>
    <row r="12" spans="1:46" x14ac:dyDescent="0.35">
      <c r="C12" s="2"/>
      <c r="D12" s="1"/>
      <c r="E12" s="1"/>
      <c r="F12" s="2"/>
      <c r="G12" s="2"/>
      <c r="H12" s="2"/>
      <c r="L12" t="s">
        <v>220</v>
      </c>
      <c r="M12" s="1">
        <f>D49</f>
        <v>0.58922091624152584</v>
      </c>
      <c r="N12" s="69">
        <f>M12</f>
        <v>0.58922091624152584</v>
      </c>
      <c r="AN12" s="1"/>
      <c r="AO12" s="1"/>
      <c r="AP12" s="1"/>
      <c r="AQ12" s="2"/>
      <c r="AS12" s="2"/>
      <c r="AT12" s="2"/>
    </row>
    <row r="13" spans="1:46" x14ac:dyDescent="0.35">
      <c r="C13" s="2"/>
      <c r="D13" s="1"/>
      <c r="E13" s="1"/>
      <c r="F13" s="2"/>
      <c r="G13" s="2"/>
      <c r="H13" s="2"/>
      <c r="L13" t="s">
        <v>221</v>
      </c>
      <c r="M13" s="1">
        <f>D29</f>
        <v>0.60985790475145341</v>
      </c>
      <c r="N13" s="69">
        <f>M13</f>
        <v>0.60985790475145341</v>
      </c>
      <c r="AN13" s="1"/>
      <c r="AO13" s="1"/>
      <c r="AP13" s="1"/>
      <c r="AQ13" s="2"/>
      <c r="AS13" s="2"/>
      <c r="AT13" s="2"/>
    </row>
    <row r="14" spans="1:46" x14ac:dyDescent="0.35">
      <c r="C14" s="2"/>
      <c r="D14" s="1"/>
      <c r="E14" s="1"/>
      <c r="F14" s="2"/>
      <c r="G14" s="2"/>
      <c r="H14" s="2"/>
      <c r="L14" s="76" t="s">
        <v>222</v>
      </c>
      <c r="M14" s="77">
        <f>(M11*(M12-M13)+M12*M6)*M10</f>
        <v>1.747913053703827</v>
      </c>
      <c r="N14" s="77">
        <f>(N11*(N12-N13)+N12*N6)*N10</f>
        <v>1.9576626201482863</v>
      </c>
      <c r="AN14" s="1"/>
      <c r="AO14" s="1"/>
      <c r="AP14" s="1"/>
      <c r="AQ14" s="2"/>
      <c r="AS14" s="2"/>
      <c r="AT14" s="2"/>
    </row>
    <row r="15" spans="1:46" x14ac:dyDescent="0.35">
      <c r="C15" s="2"/>
      <c r="D15" s="1"/>
      <c r="E15" s="1"/>
      <c r="F15" s="2"/>
      <c r="G15" s="2"/>
      <c r="H15" s="2"/>
      <c r="L15" s="76" t="s">
        <v>223</v>
      </c>
      <c r="M15" s="77">
        <f>M12*M1-M13*M2</f>
        <v>1.7479130537038259</v>
      </c>
      <c r="N15" s="77">
        <f>N12*N1-N13*N2</f>
        <v>1.9576626201482838</v>
      </c>
      <c r="AN15" s="1"/>
      <c r="AO15" s="1"/>
      <c r="AP15" s="1"/>
      <c r="AQ15" s="2"/>
      <c r="AS15" s="2"/>
      <c r="AT15" s="2"/>
    </row>
    <row r="16" spans="1:46" x14ac:dyDescent="0.35">
      <c r="C16" s="2"/>
      <c r="D16" s="1"/>
      <c r="E16" s="1"/>
      <c r="F16" s="2"/>
      <c r="G16" s="2"/>
      <c r="H16" s="2"/>
      <c r="AN16" s="1"/>
      <c r="AO16" s="1"/>
      <c r="AP16" s="1"/>
      <c r="AQ16" s="2"/>
      <c r="AS16" s="2"/>
      <c r="AT16" s="2"/>
    </row>
    <row r="17" spans="2:46" x14ac:dyDescent="0.35">
      <c r="C17" s="2"/>
      <c r="D17" s="1"/>
      <c r="E17" s="1"/>
      <c r="F17" s="2"/>
      <c r="G17" s="2"/>
      <c r="H17" s="2"/>
      <c r="AN17" s="1"/>
      <c r="AO17" s="1"/>
      <c r="AP17" s="1"/>
      <c r="AQ17" s="2"/>
      <c r="AS17" s="2"/>
      <c r="AT17" s="2"/>
    </row>
    <row r="18" spans="2:46" x14ac:dyDescent="0.35">
      <c r="C18" s="2"/>
      <c r="D18" s="1"/>
      <c r="E18" s="1"/>
      <c r="F18" s="2"/>
      <c r="G18" s="2"/>
      <c r="H18" s="2"/>
      <c r="AN18" s="1"/>
      <c r="AO18" s="1"/>
      <c r="AP18" s="1"/>
      <c r="AQ18" s="2"/>
      <c r="AS18" s="2"/>
      <c r="AT18" s="2"/>
    </row>
    <row r="19" spans="2:46" x14ac:dyDescent="0.35">
      <c r="C19" s="2"/>
      <c r="D19" s="1"/>
      <c r="E19" s="1"/>
      <c r="F19" s="2"/>
      <c r="G19" s="2"/>
      <c r="H19" s="2"/>
      <c r="AN19" s="1"/>
      <c r="AO19" s="1"/>
      <c r="AP19" s="1"/>
      <c r="AQ19" s="2"/>
      <c r="AS19" s="2"/>
      <c r="AT19" s="2"/>
    </row>
    <row r="20" spans="2:46" x14ac:dyDescent="0.35">
      <c r="B20">
        <v>1990</v>
      </c>
      <c r="C20" s="68">
        <f>'CO2 1990-2019'!E80/1000</f>
        <v>37.503901917692637</v>
      </c>
      <c r="D20" s="69">
        <f>'CH4 1990-2019'!E80/1000</f>
        <v>0.56846617435307711</v>
      </c>
      <c r="E20" s="69">
        <f>'N2O 1990-2019'!E81/1000</f>
        <v>2.6227661646226468E-2</v>
      </c>
      <c r="F20" s="2">
        <f t="shared" ref="F20:G60" si="2">D20*F$5</f>
        <v>15.917052881886159</v>
      </c>
      <c r="G20" s="2">
        <f t="shared" si="2"/>
        <v>6.9503303362500137</v>
      </c>
      <c r="H20" s="2">
        <f t="shared" ref="H20:H60" si="3">SUM(F20:G20)+C20</f>
        <v>60.371285135828813</v>
      </c>
      <c r="I20" s="2"/>
      <c r="J20" s="2"/>
      <c r="AN20" s="1"/>
      <c r="AO20" s="1"/>
      <c r="AP20" s="1"/>
      <c r="AQ20" s="2"/>
      <c r="AS20" s="2"/>
      <c r="AT20" s="2"/>
    </row>
    <row r="21" spans="2:46" x14ac:dyDescent="0.35">
      <c r="B21">
        <f>B20+1</f>
        <v>1991</v>
      </c>
      <c r="C21" s="68">
        <f>'CO2 1990-2019'!E81/1000</f>
        <v>38.099012193795097</v>
      </c>
      <c r="D21" s="69">
        <f>'CH4 1990-2019'!E81/1000</f>
        <v>0.57899497527056076</v>
      </c>
      <c r="E21" s="69">
        <f>'N2O 1990-2019'!E82/1000</f>
        <v>2.554114757699584E-2</v>
      </c>
      <c r="F21" s="2">
        <f t="shared" si="2"/>
        <v>16.2118593075757</v>
      </c>
      <c r="G21" s="2">
        <f t="shared" si="2"/>
        <v>6.7684041079038977</v>
      </c>
      <c r="H21" s="2">
        <f t="shared" si="3"/>
        <v>61.079275609274696</v>
      </c>
      <c r="I21" s="2"/>
      <c r="J21" s="2"/>
      <c r="AN21" s="1"/>
      <c r="AO21" s="1"/>
      <c r="AP21" s="1"/>
      <c r="AQ21" s="2"/>
      <c r="AS21" s="2"/>
      <c r="AT21" s="2"/>
    </row>
    <row r="22" spans="2:46" x14ac:dyDescent="0.35">
      <c r="B22">
        <f t="shared" ref="B22:B85" si="4">B21+1</f>
        <v>1992</v>
      </c>
      <c r="C22" s="68">
        <f>'CO2 1990-2019'!E82/1000</f>
        <v>37.716183401651868</v>
      </c>
      <c r="D22" s="69">
        <f>'CH4 1990-2019'!E82/1000</f>
        <v>0.58638316837148285</v>
      </c>
      <c r="E22" s="69">
        <f>'N2O 1990-2019'!E83/1000</f>
        <v>2.5204417941327273E-2</v>
      </c>
      <c r="F22" s="2">
        <f t="shared" si="2"/>
        <v>16.418728714401521</v>
      </c>
      <c r="G22" s="2">
        <f t="shared" si="2"/>
        <v>6.6791707544517269</v>
      </c>
      <c r="H22" s="2">
        <f t="shared" si="3"/>
        <v>60.814082870505118</v>
      </c>
      <c r="I22" s="2"/>
      <c r="J22" s="2"/>
      <c r="AN22" s="1"/>
      <c r="AO22" s="1"/>
      <c r="AP22" s="1"/>
      <c r="AQ22" s="2"/>
      <c r="AS22" s="2"/>
      <c r="AT22" s="2"/>
    </row>
    <row r="23" spans="2:46" x14ac:dyDescent="0.35">
      <c r="B23">
        <f t="shared" si="4"/>
        <v>1993</v>
      </c>
      <c r="C23" s="68">
        <f>'CO2 1990-2019'!E83/1000</f>
        <v>37.813894147276059</v>
      </c>
      <c r="D23" s="69">
        <f>'CH4 1990-2019'!E83/1000</f>
        <v>0.59483377727766906</v>
      </c>
      <c r="E23" s="69">
        <f>'N2O 1990-2019'!E84/1000</f>
        <v>2.5697521605793531E-2</v>
      </c>
      <c r="F23" s="2">
        <f t="shared" si="2"/>
        <v>16.655345763774733</v>
      </c>
      <c r="G23" s="2">
        <f t="shared" si="2"/>
        <v>6.8098432255352854</v>
      </c>
      <c r="H23" s="2">
        <f t="shared" si="3"/>
        <v>61.279083136586081</v>
      </c>
      <c r="I23" s="2"/>
      <c r="J23" s="2"/>
      <c r="AN23" s="1"/>
      <c r="AO23" s="1"/>
      <c r="AP23" s="1"/>
      <c r="AQ23" s="2"/>
      <c r="AS23" s="2"/>
      <c r="AT23" s="2"/>
    </row>
    <row r="24" spans="2:46" x14ac:dyDescent="0.35">
      <c r="B24">
        <f t="shared" si="4"/>
        <v>1994</v>
      </c>
      <c r="C24" s="68">
        <f>'CO2 1990-2019'!E84/1000</f>
        <v>39.097461645272396</v>
      </c>
      <c r="D24" s="69">
        <f>'CH4 1990-2019'!E84/1000</f>
        <v>0.59526602098909942</v>
      </c>
      <c r="E24" s="69">
        <f>'N2O 1990-2019'!E85/1000</f>
        <v>2.6660195601452181E-2</v>
      </c>
      <c r="F24" s="2">
        <f t="shared" si="2"/>
        <v>16.667448587694786</v>
      </c>
      <c r="G24" s="2">
        <f t="shared" si="2"/>
        <v>7.0649518343848277</v>
      </c>
      <c r="H24" s="2">
        <f t="shared" si="3"/>
        <v>62.829862067352011</v>
      </c>
      <c r="I24" s="2"/>
      <c r="J24" s="2"/>
      <c r="AN24" s="1"/>
      <c r="AO24" s="1"/>
      <c r="AP24" s="1"/>
      <c r="AQ24" s="2"/>
      <c r="AS24" s="2"/>
      <c r="AT24" s="2"/>
    </row>
    <row r="25" spans="2:46" x14ac:dyDescent="0.35">
      <c r="B25">
        <f t="shared" si="4"/>
        <v>1995</v>
      </c>
      <c r="C25" s="68">
        <f>'CO2 1990-2019'!E85/1000</f>
        <v>41.117756580617204</v>
      </c>
      <c r="D25" s="69">
        <f>'CH4 1990-2019'!E85/1000</f>
        <v>0.60059169683666336</v>
      </c>
      <c r="E25" s="69">
        <f>'N2O 1990-2019'!E86/1000</f>
        <v>2.7848538989904151E-2</v>
      </c>
      <c r="F25" s="2">
        <f t="shared" si="2"/>
        <v>16.816567511426573</v>
      </c>
      <c r="G25" s="2">
        <f t="shared" si="2"/>
        <v>7.3798628323245996</v>
      </c>
      <c r="H25" s="2">
        <f t="shared" si="3"/>
        <v>65.314186924368386</v>
      </c>
      <c r="I25" s="2"/>
      <c r="J25" s="2"/>
      <c r="AN25" s="1"/>
      <c r="AO25" s="1"/>
      <c r="AP25" s="1"/>
      <c r="AQ25" s="2"/>
      <c r="AS25" s="2"/>
      <c r="AT25" s="2"/>
    </row>
    <row r="26" spans="2:46" x14ac:dyDescent="0.35">
      <c r="B26">
        <f t="shared" si="4"/>
        <v>1996</v>
      </c>
      <c r="C26" s="68">
        <f>'CO2 1990-2019'!E86/1000</f>
        <v>42.401848154429679</v>
      </c>
      <c r="D26" s="69">
        <f>'CH4 1990-2019'!E86/1000</f>
        <v>0.61511089079967096</v>
      </c>
      <c r="E26" s="69">
        <f>'N2O 1990-2019'!E87/1000</f>
        <v>2.8242940550096497E-2</v>
      </c>
      <c r="F26" s="2">
        <f t="shared" si="2"/>
        <v>17.223104942390787</v>
      </c>
      <c r="G26" s="2">
        <f t="shared" si="2"/>
        <v>7.484379245775572</v>
      </c>
      <c r="H26" s="2">
        <f t="shared" si="3"/>
        <v>67.109332342596034</v>
      </c>
      <c r="I26" s="2"/>
      <c r="J26" s="2"/>
      <c r="AN26" s="1"/>
      <c r="AO26" s="1"/>
      <c r="AP26" s="1"/>
      <c r="AQ26" s="2"/>
      <c r="AS26" s="2"/>
      <c r="AT26" s="2"/>
    </row>
    <row r="27" spans="2:46" x14ac:dyDescent="0.35">
      <c r="B27">
        <f t="shared" si="4"/>
        <v>1997</v>
      </c>
      <c r="C27" s="68">
        <f>'CO2 1990-2019'!E87/1000</f>
        <v>43.245116683187582</v>
      </c>
      <c r="D27" s="69">
        <f>'CH4 1990-2019'!E87/1000</f>
        <v>0.61488733682276098</v>
      </c>
      <c r="E27" s="69">
        <f>'N2O 1990-2019'!E88/1000</f>
        <v>2.7991006485181408E-2</v>
      </c>
      <c r="F27" s="2">
        <f t="shared" si="2"/>
        <v>17.216845431037306</v>
      </c>
      <c r="G27" s="2">
        <f t="shared" si="2"/>
        <v>7.4176167185730728</v>
      </c>
      <c r="H27" s="2">
        <f t="shared" si="3"/>
        <v>67.879578832797961</v>
      </c>
      <c r="I27" s="2"/>
      <c r="J27" s="2"/>
      <c r="AN27" s="1"/>
      <c r="AO27" s="1"/>
      <c r="AP27" s="1"/>
      <c r="AQ27" s="2"/>
      <c r="AS27" s="2"/>
      <c r="AT27" s="2"/>
    </row>
    <row r="28" spans="2:46" x14ac:dyDescent="0.35">
      <c r="B28">
        <f t="shared" si="4"/>
        <v>1998</v>
      </c>
      <c r="C28" s="68">
        <f>'CO2 1990-2019'!E88/1000</f>
        <v>44.87012369632712</v>
      </c>
      <c r="D28" s="69">
        <f>'CH4 1990-2019'!E88/1000</f>
        <v>0.62689098869315008</v>
      </c>
      <c r="E28" s="69">
        <f>'N2O 1990-2019'!E89/1000</f>
        <v>2.9429943506676829E-2</v>
      </c>
      <c r="F28" s="2">
        <f t="shared" si="2"/>
        <v>17.552947683408203</v>
      </c>
      <c r="G28" s="2">
        <f t="shared" si="2"/>
        <v>7.7989350292693596</v>
      </c>
      <c r="H28" s="2">
        <f t="shared" si="3"/>
        <v>70.222006409004678</v>
      </c>
      <c r="I28" s="2"/>
      <c r="J28" s="2"/>
      <c r="AN28" s="1"/>
      <c r="AO28" s="1"/>
      <c r="AP28" s="1"/>
      <c r="AQ28" s="2"/>
      <c r="AS28" s="2"/>
      <c r="AT28" s="2"/>
    </row>
    <row r="29" spans="2:46" x14ac:dyDescent="0.35">
      <c r="B29">
        <f t="shared" si="4"/>
        <v>1999</v>
      </c>
      <c r="C29" s="68">
        <f>'CO2 1990-2019'!E89/1000</f>
        <v>46.906820617827236</v>
      </c>
      <c r="D29" s="69">
        <f>'CH4 1990-2019'!E89/1000</f>
        <v>0.60985790475145341</v>
      </c>
      <c r="E29" s="69">
        <f>'N2O 1990-2019'!E90/1000</f>
        <v>2.8645206014373741E-2</v>
      </c>
      <c r="F29" s="2">
        <f t="shared" si="2"/>
        <v>17.076021333040696</v>
      </c>
      <c r="G29" s="2">
        <f t="shared" si="2"/>
        <v>7.5909795938090419</v>
      </c>
      <c r="H29" s="2">
        <f t="shared" si="3"/>
        <v>71.573821544676974</v>
      </c>
      <c r="I29" s="2"/>
      <c r="J29" s="2"/>
      <c r="AN29" s="1"/>
      <c r="AO29" s="1"/>
      <c r="AP29" s="1"/>
      <c r="AQ29" s="2"/>
      <c r="AS29" s="2"/>
      <c r="AT29" s="2"/>
    </row>
    <row r="30" spans="2:46" x14ac:dyDescent="0.35">
      <c r="B30">
        <f t="shared" si="4"/>
        <v>2000</v>
      </c>
      <c r="C30" s="68">
        <f>'CO2 1990-2019'!E90/1000</f>
        <v>51.264446064409647</v>
      </c>
      <c r="D30" s="69">
        <f>'CH4 1990-2019'!E90/1000</f>
        <v>0.59281659514673379</v>
      </c>
      <c r="E30" s="69">
        <f>'N2O 1990-2019'!E91/1000</f>
        <v>2.7713149439546961E-2</v>
      </c>
      <c r="F30" s="2">
        <f t="shared" si="2"/>
        <v>16.598864664108547</v>
      </c>
      <c r="G30" s="2">
        <f t="shared" si="2"/>
        <v>7.3439846014799448</v>
      </c>
      <c r="H30" s="2">
        <f t="shared" si="3"/>
        <v>75.207295329998146</v>
      </c>
      <c r="I30" s="2"/>
      <c r="J30" s="2"/>
      <c r="AN30" s="1"/>
      <c r="AO30" s="1"/>
      <c r="AP30" s="1"/>
      <c r="AQ30" s="2"/>
      <c r="AS30" s="2"/>
      <c r="AT30" s="2"/>
    </row>
    <row r="31" spans="2:46" x14ac:dyDescent="0.35">
      <c r="B31">
        <f t="shared" si="4"/>
        <v>2001</v>
      </c>
      <c r="C31" s="68">
        <f>'CO2 1990-2019'!E91/1000</f>
        <v>54.663990010623849</v>
      </c>
      <c r="D31" s="69">
        <f>'CH4 1990-2019'!E91/1000</f>
        <v>0.60653930034350212</v>
      </c>
      <c r="E31" s="69">
        <f>'N2O 1990-2019'!E92/1000</f>
        <v>2.6361520111669961E-2</v>
      </c>
      <c r="F31" s="2">
        <f t="shared" si="2"/>
        <v>16.983100409618061</v>
      </c>
      <c r="G31" s="2">
        <f t="shared" si="2"/>
        <v>6.9858028295925401</v>
      </c>
      <c r="H31" s="2">
        <f t="shared" si="3"/>
        <v>78.632893249834453</v>
      </c>
      <c r="I31" s="2"/>
      <c r="J31" s="2"/>
      <c r="AN31" s="1"/>
      <c r="AO31" s="1"/>
      <c r="AP31" s="1"/>
      <c r="AQ31" s="2"/>
      <c r="AS31" s="2"/>
      <c r="AT31" s="2"/>
    </row>
    <row r="32" spans="2:46" x14ac:dyDescent="0.35">
      <c r="B32">
        <f t="shared" si="4"/>
        <v>2002</v>
      </c>
      <c r="C32" s="68">
        <f>'CO2 1990-2019'!E92/1000</f>
        <v>53.050683185293025</v>
      </c>
      <c r="D32" s="69">
        <f>'CH4 1990-2019'!E92/1000</f>
        <v>0.59584131612224078</v>
      </c>
      <c r="E32" s="69">
        <f>'N2O 1990-2019'!E93/1000</f>
        <v>2.5205268301960501E-2</v>
      </c>
      <c r="F32" s="2">
        <f t="shared" si="2"/>
        <v>16.683556851422743</v>
      </c>
      <c r="G32" s="2">
        <f t="shared" si="2"/>
        <v>6.6793961000195328</v>
      </c>
      <c r="H32" s="2">
        <f t="shared" si="3"/>
        <v>76.413636136735306</v>
      </c>
      <c r="I32" s="2"/>
      <c r="J32" s="2"/>
      <c r="AN32" s="1"/>
      <c r="AO32" s="1"/>
      <c r="AP32" s="1"/>
      <c r="AQ32" s="2"/>
      <c r="AS32" s="2"/>
      <c r="AT32" s="2"/>
    </row>
    <row r="33" spans="2:46" x14ac:dyDescent="0.35">
      <c r="B33">
        <f t="shared" si="4"/>
        <v>2003</v>
      </c>
      <c r="C33" s="68">
        <f>'CO2 1990-2019'!E93/1000</f>
        <v>52.911204011821269</v>
      </c>
      <c r="D33" s="69">
        <f>'CH4 1990-2019'!E93/1000</f>
        <v>0.6315771849487738</v>
      </c>
      <c r="E33" s="69">
        <f>'N2O 1990-2019'!E94/1000</f>
        <v>2.5051707160096713E-2</v>
      </c>
      <c r="F33" s="2">
        <f t="shared" si="2"/>
        <v>17.684161178565667</v>
      </c>
      <c r="G33" s="2">
        <f t="shared" si="2"/>
        <v>6.6387023974256287</v>
      </c>
      <c r="H33" s="2">
        <f t="shared" si="3"/>
        <v>77.234067587812561</v>
      </c>
      <c r="I33" s="2"/>
      <c r="J33" s="2"/>
      <c r="AN33" s="1"/>
      <c r="AO33" s="1"/>
      <c r="AP33" s="1"/>
      <c r="AQ33" s="2"/>
      <c r="AS33" s="2"/>
      <c r="AT33" s="2"/>
    </row>
    <row r="34" spans="2:46" x14ac:dyDescent="0.35">
      <c r="B34">
        <f t="shared" si="4"/>
        <v>2004</v>
      </c>
      <c r="C34" s="68">
        <f>'CO2 1990-2019'!E94/1000</f>
        <v>51.897755100973896</v>
      </c>
      <c r="D34" s="69">
        <f>'CH4 1990-2019'!E94/1000</f>
        <v>0.58670195261344882</v>
      </c>
      <c r="E34" s="69">
        <f>'N2O 1990-2019'!E95/1000</f>
        <v>2.4462801837163501E-2</v>
      </c>
      <c r="F34" s="2">
        <f t="shared" si="2"/>
        <v>16.427654673176566</v>
      </c>
      <c r="G34" s="2">
        <f t="shared" si="2"/>
        <v>6.4826424868483281</v>
      </c>
      <c r="H34" s="2">
        <f t="shared" si="3"/>
        <v>74.808052260998792</v>
      </c>
      <c r="I34" s="2"/>
      <c r="J34" s="2"/>
      <c r="AN34" s="1"/>
      <c r="AO34" s="1"/>
      <c r="AP34" s="1"/>
      <c r="AQ34" s="2"/>
      <c r="AS34" s="2"/>
      <c r="AT34" s="2"/>
    </row>
    <row r="35" spans="2:46" x14ac:dyDescent="0.35">
      <c r="B35">
        <f t="shared" si="4"/>
        <v>2005</v>
      </c>
      <c r="C35" s="68">
        <f>'CO2 1990-2019'!E95/1000</f>
        <v>54.59560870610084</v>
      </c>
      <c r="D35" s="69">
        <f>'CH4 1990-2019'!E95/1000</f>
        <v>0.57896199008081672</v>
      </c>
      <c r="E35" s="69">
        <f>'N2O 1990-2019'!E96/1000</f>
        <v>2.4090144176706841E-2</v>
      </c>
      <c r="F35" s="2">
        <f t="shared" si="2"/>
        <v>16.210935722262867</v>
      </c>
      <c r="G35" s="2">
        <f t="shared" si="2"/>
        <v>6.3838882068273133</v>
      </c>
      <c r="H35" s="2">
        <f t="shared" si="3"/>
        <v>77.19043263519103</v>
      </c>
      <c r="I35" s="2"/>
      <c r="J35" s="2"/>
      <c r="AN35" s="1"/>
      <c r="AO35" s="1"/>
      <c r="AP35" s="1"/>
      <c r="AQ35" s="2"/>
      <c r="AS35" s="2"/>
      <c r="AT35" s="2"/>
    </row>
    <row r="36" spans="2:46" x14ac:dyDescent="0.35">
      <c r="B36">
        <f t="shared" si="4"/>
        <v>2006</v>
      </c>
      <c r="C36" s="68">
        <f>'CO2 1990-2019'!E96/1000</f>
        <v>54.461539202046147</v>
      </c>
      <c r="D36" s="69">
        <f>'CH4 1990-2019'!E96/1000</f>
        <v>0.58365900940295345</v>
      </c>
      <c r="E36" s="69">
        <f>'N2O 1990-2019'!E97/1000</f>
        <v>2.3416369558615369E-2</v>
      </c>
      <c r="F36" s="2">
        <f t="shared" si="2"/>
        <v>16.342452263282695</v>
      </c>
      <c r="G36" s="2">
        <f t="shared" si="2"/>
        <v>6.2053379330330731</v>
      </c>
      <c r="H36" s="2">
        <f t="shared" si="3"/>
        <v>77.009329398361913</v>
      </c>
      <c r="I36" s="2"/>
      <c r="J36" s="2"/>
      <c r="AN36" s="1"/>
      <c r="AO36" s="1"/>
      <c r="AP36" s="1"/>
      <c r="AQ36" s="2"/>
      <c r="AS36" s="2"/>
      <c r="AT36" s="2"/>
    </row>
    <row r="37" spans="2:46" x14ac:dyDescent="0.35">
      <c r="B37">
        <f t="shared" si="4"/>
        <v>2007</v>
      </c>
      <c r="C37" s="68">
        <f>'CO2 1990-2019'!E97/1000</f>
        <v>53.746045769965306</v>
      </c>
      <c r="D37" s="69">
        <f>'CH4 1990-2019'!E97/1000</f>
        <v>0.54949163157015002</v>
      </c>
      <c r="E37" s="69">
        <f>'N2O 1990-2019'!E98/1000</f>
        <v>2.2587866931128592E-2</v>
      </c>
      <c r="F37" s="2">
        <f t="shared" si="2"/>
        <v>15.3857656839642</v>
      </c>
      <c r="G37" s="2">
        <f t="shared" si="2"/>
        <v>5.9857847367490766</v>
      </c>
      <c r="H37" s="2">
        <f t="shared" si="3"/>
        <v>75.117596190678583</v>
      </c>
      <c r="I37" s="2"/>
      <c r="J37" s="2"/>
      <c r="AN37" s="1"/>
      <c r="AO37" s="1"/>
      <c r="AP37" s="1"/>
      <c r="AQ37" s="2"/>
      <c r="AS37" s="2"/>
      <c r="AT37" s="2"/>
    </row>
    <row r="38" spans="2:46" x14ac:dyDescent="0.35">
      <c r="B38">
        <f t="shared" si="4"/>
        <v>2008</v>
      </c>
      <c r="C38" s="68">
        <f>'CO2 1990-2019'!E98/1000</f>
        <v>52.68158170157681</v>
      </c>
      <c r="D38" s="69">
        <f>'CH4 1990-2019'!E98/1000</f>
        <v>0.54327868568762094</v>
      </c>
      <c r="E38" s="69">
        <f>'N2O 1990-2019'!E99/1000</f>
        <v>2.252824456889773E-2</v>
      </c>
      <c r="F38" s="2">
        <f t="shared" si="2"/>
        <v>15.211803199253387</v>
      </c>
      <c r="G38" s="2">
        <f t="shared" si="2"/>
        <v>5.9699848107578983</v>
      </c>
      <c r="H38" s="2">
        <f t="shared" si="3"/>
        <v>73.863369711588092</v>
      </c>
      <c r="I38" s="2"/>
      <c r="J38" s="2"/>
      <c r="AN38" s="1"/>
      <c r="AO38" s="1"/>
      <c r="AP38" s="1"/>
      <c r="AQ38" s="2"/>
      <c r="AS38" s="2"/>
      <c r="AT38" s="2"/>
    </row>
    <row r="39" spans="2:46" x14ac:dyDescent="0.35">
      <c r="B39">
        <f t="shared" si="4"/>
        <v>2009</v>
      </c>
      <c r="C39" s="68">
        <f>'CO2 1990-2019'!E99/1000</f>
        <v>47.163320009204178</v>
      </c>
      <c r="D39" s="69">
        <f>'CH4 1990-2019'!E99/1000</f>
        <v>0.52849395261365861</v>
      </c>
      <c r="E39" s="69">
        <f>'N2O 1990-2019'!E100/1000</f>
        <v>2.1984221435495593E-2</v>
      </c>
      <c r="F39" s="2">
        <f t="shared" si="2"/>
        <v>14.797830673182441</v>
      </c>
      <c r="G39" s="2">
        <f t="shared" si="2"/>
        <v>5.8258186804063321</v>
      </c>
      <c r="H39" s="2">
        <f t="shared" si="3"/>
        <v>67.786969362792945</v>
      </c>
      <c r="I39" s="2"/>
      <c r="J39" s="2"/>
      <c r="AA39" s="2"/>
      <c r="AB39" s="2"/>
      <c r="AC39" s="2"/>
      <c r="AN39" s="1"/>
      <c r="AO39" s="1"/>
      <c r="AP39" s="1"/>
      <c r="AQ39" s="2"/>
      <c r="AS39" s="2"/>
      <c r="AT39" s="2"/>
    </row>
    <row r="40" spans="2:46" x14ac:dyDescent="0.35">
      <c r="B40">
        <f t="shared" si="4"/>
        <v>2010</v>
      </c>
      <c r="C40" s="68">
        <f>'CO2 1990-2019'!E100/1000</f>
        <v>48.004538579802293</v>
      </c>
      <c r="D40" s="69">
        <f>'CH4 1990-2019'!E100/1000</f>
        <v>0.53088913019285489</v>
      </c>
      <c r="E40" s="69">
        <f>'N2O 1990-2019'!E101/1000</f>
        <v>2.3205006831574712E-2</v>
      </c>
      <c r="F40" s="2">
        <f t="shared" si="2"/>
        <v>14.864895645399937</v>
      </c>
      <c r="G40" s="2">
        <f t="shared" si="2"/>
        <v>6.1493268103672989</v>
      </c>
      <c r="H40" s="2">
        <f t="shared" si="3"/>
        <v>69.018761035569526</v>
      </c>
      <c r="I40" s="2"/>
      <c r="J40" s="2"/>
      <c r="AA40" s="2"/>
      <c r="AB40" s="2"/>
      <c r="AC40" s="2"/>
      <c r="AN40" s="1"/>
      <c r="AO40" s="1"/>
      <c r="AP40" s="1"/>
      <c r="AQ40" s="2"/>
      <c r="AS40" s="2"/>
      <c r="AT40" s="2"/>
    </row>
    <row r="41" spans="2:46" x14ac:dyDescent="0.35">
      <c r="B41">
        <f t="shared" si="4"/>
        <v>2011</v>
      </c>
      <c r="C41" s="68">
        <f>'CO2 1990-2019'!E101/1000</f>
        <v>43.82620233701207</v>
      </c>
      <c r="D41" s="69">
        <f>'CH4 1990-2019'!E101/1000</f>
        <v>0.52067847685625956</v>
      </c>
      <c r="E41" s="69">
        <f>'N2O 1990-2019'!E102/1000</f>
        <v>2.1596923732384501E-2</v>
      </c>
      <c r="F41" s="2">
        <f t="shared" si="2"/>
        <v>14.578997351975268</v>
      </c>
      <c r="G41" s="2">
        <f t="shared" si="2"/>
        <v>5.723184789081893</v>
      </c>
      <c r="H41" s="2">
        <f t="shared" si="3"/>
        <v>64.128384478069222</v>
      </c>
      <c r="I41" s="2"/>
      <c r="J41" s="2"/>
      <c r="AN41" s="1"/>
      <c r="AO41" s="1"/>
      <c r="AP41" s="1"/>
      <c r="AQ41" s="2"/>
      <c r="AS41" s="2"/>
      <c r="AT41" s="2"/>
    </row>
    <row r="42" spans="2:46" x14ac:dyDescent="0.35">
      <c r="B42">
        <f t="shared" si="4"/>
        <v>2012</v>
      </c>
      <c r="C42" s="68">
        <f>'CO2 1990-2019'!E102/1000</f>
        <v>43.046736237018365</v>
      </c>
      <c r="D42" s="69">
        <f>'CH4 1990-2019'!E102/1000</f>
        <v>0.54122860081163016</v>
      </c>
      <c r="E42" s="69">
        <f>'N2O 1990-2019'!E103/1000</f>
        <v>2.2350835962576289E-2</v>
      </c>
      <c r="F42" s="2">
        <f t="shared" si="2"/>
        <v>15.154400822725645</v>
      </c>
      <c r="G42" s="2">
        <f t="shared" si="2"/>
        <v>5.9229715300827168</v>
      </c>
      <c r="H42" s="2">
        <f t="shared" si="3"/>
        <v>64.124108589826733</v>
      </c>
      <c r="I42" s="2"/>
      <c r="J42" s="2"/>
      <c r="W42" s="82"/>
      <c r="AN42" s="1"/>
      <c r="AO42" s="1"/>
      <c r="AP42" s="1"/>
      <c r="AQ42" s="2"/>
      <c r="AS42" s="2"/>
      <c r="AT42" s="2"/>
    </row>
    <row r="43" spans="2:46" x14ac:dyDescent="0.35">
      <c r="B43">
        <f t="shared" si="4"/>
        <v>2013</v>
      </c>
      <c r="C43" s="68">
        <f>'CO2 1990-2019'!E103/1000</f>
        <v>42.143034779693046</v>
      </c>
      <c r="D43" s="69">
        <f>'CH4 1990-2019'!E103/1000</f>
        <v>0.55563293823158555</v>
      </c>
      <c r="E43" s="69">
        <f>'N2O 1990-2019'!E104/1000</f>
        <v>2.3861676615019551E-2</v>
      </c>
      <c r="F43" s="2">
        <f t="shared" si="2"/>
        <v>15.557722270484396</v>
      </c>
      <c r="G43" s="2">
        <f t="shared" si="2"/>
        <v>6.323344302980181</v>
      </c>
      <c r="H43" s="2">
        <f t="shared" si="3"/>
        <v>64.024101353157619</v>
      </c>
      <c r="I43" s="2"/>
      <c r="J43" s="2"/>
      <c r="X43" s="2"/>
      <c r="Y43" s="2"/>
      <c r="Z43" s="2"/>
      <c r="AA43" s="2"/>
      <c r="AB43" s="2"/>
      <c r="AC43" s="2"/>
      <c r="AF43" s="2"/>
      <c r="AN43" s="1"/>
      <c r="AO43" s="1"/>
      <c r="AP43" s="1"/>
      <c r="AQ43" s="2"/>
      <c r="AS43" s="2"/>
      <c r="AT43" s="2"/>
    </row>
    <row r="44" spans="2:46" x14ac:dyDescent="0.35">
      <c r="B44">
        <f t="shared" si="4"/>
        <v>2014</v>
      </c>
      <c r="C44" s="68">
        <f>'CO2 1990-2019'!E104/1000</f>
        <v>43.002058721298987</v>
      </c>
      <c r="D44" s="69">
        <f>'CH4 1990-2019'!E104/1000</f>
        <v>0.56469371673730473</v>
      </c>
      <c r="E44" s="69">
        <f>'N2O 1990-2019'!E105/1000</f>
        <v>2.3087068532383508E-2</v>
      </c>
      <c r="F44" s="2">
        <f t="shared" si="2"/>
        <v>15.811424068644532</v>
      </c>
      <c r="G44" s="2">
        <f t="shared" si="2"/>
        <v>6.1180731610816297</v>
      </c>
      <c r="H44" s="2">
        <f t="shared" si="3"/>
        <v>64.931555951025146</v>
      </c>
      <c r="I44" s="2"/>
      <c r="J44" s="2"/>
      <c r="X44" s="2"/>
      <c r="Y44" s="2"/>
      <c r="Z44" s="2"/>
      <c r="AA44" s="2"/>
      <c r="AB44" s="2"/>
      <c r="AC44" s="2"/>
      <c r="AF44" s="2"/>
      <c r="AN44" s="1"/>
      <c r="AO44" s="1"/>
      <c r="AP44" s="1"/>
      <c r="AQ44" s="2"/>
      <c r="AS44" s="2"/>
      <c r="AT44" s="2"/>
    </row>
    <row r="45" spans="2:46" x14ac:dyDescent="0.35">
      <c r="B45">
        <f t="shared" si="4"/>
        <v>2015</v>
      </c>
      <c r="C45" s="68">
        <f>'CO2 1990-2019'!E105/1000</f>
        <v>44.636500221951238</v>
      </c>
      <c r="D45" s="69">
        <f>'CH4 1990-2019'!E105/1000</f>
        <v>0.57912274054536717</v>
      </c>
      <c r="E45" s="69">
        <f>'N2O 1990-2019'!E106/1000</f>
        <v>2.3139800195035771E-2</v>
      </c>
      <c r="F45" s="2">
        <f t="shared" si="2"/>
        <v>16.215436735270281</v>
      </c>
      <c r="G45" s="2">
        <f t="shared" si="2"/>
        <v>6.1320470516844789</v>
      </c>
      <c r="H45" s="2">
        <f t="shared" si="3"/>
        <v>66.983984008905992</v>
      </c>
      <c r="I45" s="2"/>
      <c r="J45" s="2"/>
      <c r="X45" s="2"/>
      <c r="Y45" s="2"/>
      <c r="Z45" s="2"/>
      <c r="AA45" s="2"/>
      <c r="AB45" s="2"/>
      <c r="AC45" s="2"/>
      <c r="AF45" s="2"/>
      <c r="AN45" s="1"/>
      <c r="AO45" s="1"/>
      <c r="AP45" s="1"/>
      <c r="AQ45" s="2"/>
      <c r="AS45" s="2"/>
      <c r="AT45" s="2"/>
    </row>
    <row r="46" spans="2:46" x14ac:dyDescent="0.35">
      <c r="B46">
        <f t="shared" si="4"/>
        <v>2016</v>
      </c>
      <c r="C46" s="68">
        <f>'CO2 1990-2019'!E106/1000</f>
        <v>45.653374656401347</v>
      </c>
      <c r="D46" s="69">
        <f>'CH4 1990-2019'!E106/1000</f>
        <v>0.59326897730059025</v>
      </c>
      <c r="E46" s="69">
        <f>'N2O 1990-2019'!E107/1000</f>
        <v>2.3402918953505311E-2</v>
      </c>
      <c r="F46" s="2">
        <f t="shared" si="2"/>
        <v>16.611531364416528</v>
      </c>
      <c r="G46" s="2">
        <f t="shared" si="2"/>
        <v>6.2017735226789075</v>
      </c>
      <c r="H46" s="2">
        <f t="shared" si="3"/>
        <v>68.466679543496781</v>
      </c>
      <c r="I46" s="2"/>
      <c r="J46" s="2"/>
      <c r="X46" s="2"/>
      <c r="Y46" s="2"/>
      <c r="Z46" s="2"/>
      <c r="AA46" s="2"/>
      <c r="AB46" s="2"/>
      <c r="AC46" s="2"/>
      <c r="AF46" s="2"/>
      <c r="AN46" s="1"/>
      <c r="AO46" s="1"/>
      <c r="AP46" s="1"/>
      <c r="AQ46" s="2"/>
      <c r="AS46" s="2"/>
      <c r="AT46" s="2"/>
    </row>
    <row r="47" spans="2:46" ht="43.5" x14ac:dyDescent="0.35">
      <c r="B47">
        <f t="shared" si="4"/>
        <v>2017</v>
      </c>
      <c r="C47" s="68">
        <f>'CO2 1990-2019'!E107/1000</f>
        <v>45.728105317317954</v>
      </c>
      <c r="D47" s="69">
        <f>'CH4 1990-2019'!E107/1000</f>
        <v>0.62003341514735055</v>
      </c>
      <c r="E47" s="69">
        <f>'N2O 1990-2019'!E108/1000</f>
        <v>2.4736923302581051E-2</v>
      </c>
      <c r="F47" s="2">
        <f t="shared" si="2"/>
        <v>17.360935624125815</v>
      </c>
      <c r="G47" s="2">
        <f t="shared" si="2"/>
        <v>6.5552846751839784</v>
      </c>
      <c r="H47" s="2">
        <f t="shared" si="3"/>
        <v>69.644325616627754</v>
      </c>
      <c r="I47" s="2"/>
      <c r="J47" s="2"/>
      <c r="K47" s="75" t="str">
        <f>K7</f>
        <v>% reduction GWP100</v>
      </c>
      <c r="L47" s="75"/>
      <c r="M47" s="75" t="s">
        <v>209</v>
      </c>
      <c r="N47" s="75" t="s">
        <v>210</v>
      </c>
      <c r="O47" s="75" t="s">
        <v>211</v>
      </c>
      <c r="AN47" s="1"/>
      <c r="AO47" s="1"/>
      <c r="AP47" s="1"/>
      <c r="AQ47" s="2"/>
      <c r="AS47" s="2"/>
      <c r="AT47" s="2"/>
    </row>
    <row r="48" spans="2:46" x14ac:dyDescent="0.35">
      <c r="B48">
        <f t="shared" si="4"/>
        <v>2018</v>
      </c>
      <c r="C48" s="70">
        <f>TIM_Output!AG14/1000</f>
        <v>44.05311996590261</v>
      </c>
      <c r="D48" s="70">
        <f>'CH4 1990-2019'!E108/1000</f>
        <v>0.62398515281643696</v>
      </c>
      <c r="E48" s="70">
        <f>'N2O 1990-2019'!E109/1000</f>
        <v>2.5702323908143719E-2</v>
      </c>
      <c r="F48" s="70">
        <f t="shared" si="2"/>
        <v>17.471584278860234</v>
      </c>
      <c r="G48" s="70">
        <f t="shared" si="2"/>
        <v>6.8111158356580859</v>
      </c>
      <c r="H48" s="70">
        <f t="shared" si="3"/>
        <v>68.33582008042093</v>
      </c>
      <c r="I48" s="70"/>
      <c r="J48" s="70"/>
      <c r="K48" s="74">
        <f t="shared" ref="K48:K90" si="5">1-H48/H$48</f>
        <v>0</v>
      </c>
      <c r="L48" s="73"/>
      <c r="M48" s="3">
        <f t="shared" ref="M48:M90" si="6">1-C48/C$48</f>
        <v>0</v>
      </c>
      <c r="N48" s="3">
        <f t="shared" ref="N48:N90" si="7">1-D48/D$48</f>
        <v>0</v>
      </c>
      <c r="O48" s="3">
        <f t="shared" ref="O48:O90" si="8">1-E48/E$48</f>
        <v>0</v>
      </c>
      <c r="AN48" s="1"/>
      <c r="AO48" s="1"/>
      <c r="AP48" s="1"/>
      <c r="AQ48" s="2"/>
      <c r="AS48" s="2"/>
      <c r="AT48" s="2"/>
    </row>
    <row r="49" spans="2:49" x14ac:dyDescent="0.35">
      <c r="B49">
        <f t="shared" si="4"/>
        <v>2019</v>
      </c>
      <c r="C49" s="80">
        <f>'WAM Projections'!J32/1000</f>
        <v>42.551403836920038</v>
      </c>
      <c r="D49" s="80">
        <f>'WAM Projections'!D32/1000</f>
        <v>0.58922091624152584</v>
      </c>
      <c r="E49" s="80">
        <f>'WAM Projections'!E32/1000</f>
        <v>2.3004457248979732E-2</v>
      </c>
      <c r="F49" s="2">
        <f t="shared" si="2"/>
        <v>16.498185654762722</v>
      </c>
      <c r="G49" s="2">
        <f t="shared" si="2"/>
        <v>6.0961811709796292</v>
      </c>
      <c r="H49" s="2">
        <f t="shared" si="3"/>
        <v>65.145770662662386</v>
      </c>
      <c r="I49" s="2"/>
      <c r="J49" s="2"/>
      <c r="K49" s="74">
        <f t="shared" si="5"/>
        <v>4.6681951193449311E-2</v>
      </c>
      <c r="L49" s="73"/>
      <c r="M49" s="3">
        <f t="shared" si="6"/>
        <v>3.4088757621365096E-2</v>
      </c>
      <c r="N49" s="3">
        <f t="shared" si="7"/>
        <v>5.5713243204583152E-2</v>
      </c>
      <c r="O49" s="3">
        <f t="shared" si="8"/>
        <v>0.10496586490800452</v>
      </c>
      <c r="Y49" s="2"/>
      <c r="Z49" s="2"/>
      <c r="AB49" s="2"/>
      <c r="AN49" s="1"/>
      <c r="AO49" s="1"/>
      <c r="AP49" s="1"/>
      <c r="AQ49" s="2"/>
      <c r="AS49" s="2"/>
      <c r="AT49" s="2"/>
    </row>
    <row r="50" spans="2:49" x14ac:dyDescent="0.35">
      <c r="B50">
        <f t="shared" si="4"/>
        <v>2020</v>
      </c>
      <c r="C50" s="80">
        <f>'WAM Projections'!J33/1000</f>
        <v>39.6997120657254</v>
      </c>
      <c r="D50" s="80">
        <f>'WAM Projections'!D33/1000</f>
        <v>0.59473031271743648</v>
      </c>
      <c r="E50" s="80">
        <f>'WAM Projections'!E33/1000</f>
        <v>2.2983973024124787E-2</v>
      </c>
      <c r="F50" s="2">
        <f t="shared" si="2"/>
        <v>16.652448756088223</v>
      </c>
      <c r="G50" s="2">
        <f t="shared" si="2"/>
        <v>6.0907528513930682</v>
      </c>
      <c r="H50" s="2">
        <f t="shared" si="3"/>
        <v>62.442913673206689</v>
      </c>
      <c r="I50" s="2"/>
      <c r="J50" s="2"/>
      <c r="K50" s="74">
        <f t="shared" si="5"/>
        <v>8.623451654314207E-2</v>
      </c>
      <c r="L50" s="73"/>
      <c r="M50" s="3">
        <f t="shared" si="6"/>
        <v>9.8821783872442559E-2</v>
      </c>
      <c r="N50" s="3">
        <f t="shared" si="7"/>
        <v>4.6883872103294477E-2</v>
      </c>
      <c r="O50" s="3">
        <f t="shared" si="8"/>
        <v>0.10576284439235584</v>
      </c>
      <c r="P50" s="3">
        <f>M50</f>
        <v>9.8821783872442559E-2</v>
      </c>
      <c r="Q50" s="3">
        <f t="shared" ref="Q50:R50" si="9">N50</f>
        <v>4.6883872103294477E-2</v>
      </c>
      <c r="R50" s="3">
        <f t="shared" si="9"/>
        <v>0.10576284439235584</v>
      </c>
      <c r="S50" s="3">
        <f>K50</f>
        <v>8.623451654314207E-2</v>
      </c>
      <c r="T50" s="3"/>
      <c r="Y50" s="2"/>
      <c r="Z50" s="2"/>
      <c r="AB50" s="2"/>
      <c r="AN50" s="100"/>
      <c r="AO50" s="100"/>
      <c r="AP50" s="100"/>
      <c r="AQ50" s="101"/>
      <c r="AR50" s="99"/>
      <c r="AS50" s="101"/>
      <c r="AT50" s="101"/>
      <c r="AU50" s="99"/>
      <c r="AV50" s="99"/>
    </row>
    <row r="51" spans="2:49" x14ac:dyDescent="0.35">
      <c r="B51">
        <f t="shared" si="4"/>
        <v>2021</v>
      </c>
      <c r="C51" s="80">
        <f>'WAM Projections'!J34/1000</f>
        <v>41.967334731719113</v>
      </c>
      <c r="D51" s="80">
        <f>'WAM Projections'!D34/1000</f>
        <v>0.58383889273555045</v>
      </c>
      <c r="E51" s="80">
        <f>'WAM Projections'!E34/1000</f>
        <v>2.2585600488491758E-2</v>
      </c>
      <c r="F51" s="2">
        <f t="shared" si="2"/>
        <v>16.347488996595413</v>
      </c>
      <c r="G51" s="2">
        <f t="shared" si="2"/>
        <v>5.9851841294503156</v>
      </c>
      <c r="H51" s="2">
        <f t="shared" si="3"/>
        <v>64.30000785776484</v>
      </c>
      <c r="I51" s="2"/>
      <c r="J51" s="2"/>
      <c r="K51" s="74">
        <f t="shared" si="5"/>
        <v>5.9058517449655956E-2</v>
      </c>
      <c r="L51" s="73"/>
      <c r="M51" s="3">
        <f t="shared" si="6"/>
        <v>4.7347049103398486E-2</v>
      </c>
      <c r="N51" s="3">
        <f t="shared" si="7"/>
        <v>6.4338486099679182E-2</v>
      </c>
      <c r="O51" s="3">
        <f t="shared" si="8"/>
        <v>0.12126231973383672</v>
      </c>
      <c r="Y51" s="2"/>
      <c r="Z51" s="2"/>
      <c r="AB51" s="2"/>
      <c r="AN51" s="1"/>
      <c r="AO51" s="1"/>
      <c r="AP51" s="1"/>
      <c r="AQ51" s="2"/>
      <c r="AS51" s="2"/>
      <c r="AT51" s="2"/>
    </row>
    <row r="52" spans="2:49" x14ac:dyDescent="0.35">
      <c r="B52">
        <f t="shared" si="4"/>
        <v>2022</v>
      </c>
      <c r="C52" s="80">
        <f>'WAM Projections'!J35/1000</f>
        <v>42.730746179162182</v>
      </c>
      <c r="D52" s="80">
        <f>'WAM Projections'!D35/1000</f>
        <v>0.57804438643499789</v>
      </c>
      <c r="E52" s="80">
        <f>'WAM Projections'!E35/1000</f>
        <v>2.2263098238083701E-2</v>
      </c>
      <c r="F52" s="2">
        <f t="shared" si="2"/>
        <v>16.185242820179941</v>
      </c>
      <c r="G52" s="2">
        <f t="shared" si="2"/>
        <v>5.899721033092181</v>
      </c>
      <c r="H52" s="2">
        <f t="shared" si="3"/>
        <v>64.815710032434311</v>
      </c>
      <c r="I52" s="2"/>
      <c r="J52" s="2"/>
      <c r="K52" s="74">
        <f t="shared" si="5"/>
        <v>5.1511930987935495E-2</v>
      </c>
      <c r="L52" s="73"/>
      <c r="M52" s="3">
        <f t="shared" si="6"/>
        <v>3.0017710159097821E-2</v>
      </c>
      <c r="N52" s="3">
        <f t="shared" si="7"/>
        <v>7.3624774842926177E-2</v>
      </c>
      <c r="O52" s="3">
        <f t="shared" si="8"/>
        <v>0.13380991082173344</v>
      </c>
      <c r="Y52" s="2"/>
      <c r="Z52" s="2"/>
      <c r="AB52" s="2"/>
      <c r="AN52" s="1"/>
      <c r="AO52" s="1"/>
      <c r="AP52" s="1"/>
      <c r="AQ52" s="2"/>
      <c r="AS52" s="2"/>
      <c r="AT52" s="2"/>
    </row>
    <row r="53" spans="2:49" x14ac:dyDescent="0.35">
      <c r="B53">
        <f t="shared" si="4"/>
        <v>2023</v>
      </c>
      <c r="C53" s="80">
        <f>'WAM Projections'!J36/1000</f>
        <v>44.16374861720292</v>
      </c>
      <c r="D53" s="80">
        <f>'WAM Projections'!D36/1000</f>
        <v>0.57460283572353643</v>
      </c>
      <c r="E53" s="80">
        <f>'WAM Projections'!E36/1000</f>
        <v>2.1964318484345276E-2</v>
      </c>
      <c r="F53" s="2">
        <f t="shared" si="2"/>
        <v>16.088879400259021</v>
      </c>
      <c r="G53" s="2">
        <f t="shared" si="2"/>
        <v>5.8205443983514984</v>
      </c>
      <c r="H53" s="2">
        <f t="shared" si="3"/>
        <v>66.073172415813445</v>
      </c>
      <c r="I53" s="2"/>
      <c r="J53" s="2"/>
      <c r="K53" s="74">
        <f t="shared" si="5"/>
        <v>3.311071209717964E-2</v>
      </c>
      <c r="L53" s="73"/>
      <c r="M53" s="3">
        <f t="shared" si="6"/>
        <v>-2.5112557609072717E-3</v>
      </c>
      <c r="N53" s="3">
        <f t="shared" si="7"/>
        <v>7.9140211702164898E-2</v>
      </c>
      <c r="O53" s="3">
        <f t="shared" si="8"/>
        <v>0.14543453102363502</v>
      </c>
      <c r="Y53" s="2"/>
      <c r="Z53" s="2"/>
      <c r="AB53" s="2"/>
      <c r="AN53" s="1"/>
      <c r="AO53" s="1"/>
      <c r="AP53" s="1"/>
      <c r="AQ53" s="2"/>
      <c r="AS53" s="2"/>
      <c r="AT53" s="2"/>
    </row>
    <row r="54" spans="2:49" x14ac:dyDescent="0.35">
      <c r="B54">
        <f t="shared" si="4"/>
        <v>2024</v>
      </c>
      <c r="C54" s="80">
        <f>'WAM Projections'!J37/1000</f>
        <v>42.029979630872887</v>
      </c>
      <c r="D54" s="80">
        <f>'WAM Projections'!D37/1000</f>
        <v>0.56856205420313466</v>
      </c>
      <c r="E54" s="80">
        <f>'WAM Projections'!E37/1000</f>
        <v>2.1549354148568324E-2</v>
      </c>
      <c r="F54" s="2">
        <f t="shared" si="2"/>
        <v>15.919737517687771</v>
      </c>
      <c r="G54" s="2">
        <f t="shared" si="2"/>
        <v>5.7105788493706058</v>
      </c>
      <c r="H54" s="2">
        <f t="shared" si="3"/>
        <v>63.660295997931264</v>
      </c>
      <c r="I54" s="2"/>
      <c r="J54" s="2"/>
      <c r="K54" s="74">
        <f t="shared" si="5"/>
        <v>6.8419813751957381E-2</v>
      </c>
      <c r="L54" s="73"/>
      <c r="M54" s="3">
        <f t="shared" si="6"/>
        <v>4.5925018173415322E-2</v>
      </c>
      <c r="N54" s="3">
        <f t="shared" si="7"/>
        <v>8.8821181662965931E-2</v>
      </c>
      <c r="O54" s="3">
        <f t="shared" si="8"/>
        <v>0.16157954332913593</v>
      </c>
      <c r="X54" s="75"/>
      <c r="Y54" s="2"/>
      <c r="Z54" s="2"/>
      <c r="AA54" s="75"/>
      <c r="AB54" s="2"/>
      <c r="AN54" s="1"/>
      <c r="AO54" s="1"/>
      <c r="AP54" s="1"/>
      <c r="AQ54" s="2"/>
      <c r="AS54" s="2"/>
      <c r="AT54" s="2"/>
    </row>
    <row r="55" spans="2:49" x14ac:dyDescent="0.35">
      <c r="B55">
        <f t="shared" si="4"/>
        <v>2025</v>
      </c>
      <c r="C55" s="80">
        <f>'WAM Projections'!J38/1000</f>
        <v>41.007666260575206</v>
      </c>
      <c r="D55" s="80">
        <f>'WAM Projections'!D38/1000</f>
        <v>0.56052726293969291</v>
      </c>
      <c r="E55" s="80">
        <f>'WAM Projections'!E38/1000</f>
        <v>2.11495104961863E-2</v>
      </c>
      <c r="F55" s="2">
        <f t="shared" si="2"/>
        <v>15.694763362311402</v>
      </c>
      <c r="G55" s="2">
        <f t="shared" si="2"/>
        <v>5.6046202814893693</v>
      </c>
      <c r="H55" s="2">
        <f t="shared" si="3"/>
        <v>62.30704990437598</v>
      </c>
      <c r="I55" s="2"/>
      <c r="J55" s="2"/>
      <c r="K55" s="74">
        <f t="shared" si="5"/>
        <v>8.8222694466094098E-2</v>
      </c>
      <c r="L55" s="73"/>
      <c r="M55" s="3">
        <f t="shared" si="6"/>
        <v>6.9131396543187007E-2</v>
      </c>
      <c r="N55" s="3">
        <f t="shared" si="7"/>
        <v>0.1016977560929434</v>
      </c>
      <c r="O55" s="3">
        <f t="shared" si="8"/>
        <v>0.17713625539186639</v>
      </c>
      <c r="P55" s="3">
        <f>M55</f>
        <v>6.9131396543187007E-2</v>
      </c>
      <c r="Q55" s="3">
        <f t="shared" ref="Q55:R55" si="10">N55</f>
        <v>0.1016977560929434</v>
      </c>
      <c r="R55" s="3">
        <f t="shared" si="10"/>
        <v>0.17713625539186639</v>
      </c>
      <c r="S55" s="3">
        <f>K55</f>
        <v>8.8222694466094098E-2</v>
      </c>
      <c r="T55" s="3"/>
      <c r="X55" s="75"/>
      <c r="Y55" s="2"/>
      <c r="Z55" s="2"/>
      <c r="AA55" s="75"/>
      <c r="AB55" s="2"/>
      <c r="AN55" s="1"/>
      <c r="AO55" s="1"/>
      <c r="AP55" s="1"/>
      <c r="AQ55" s="2"/>
      <c r="AS55" s="2"/>
      <c r="AT55" s="2"/>
    </row>
    <row r="56" spans="2:49" x14ac:dyDescent="0.35">
      <c r="B56">
        <f t="shared" si="4"/>
        <v>2026</v>
      </c>
      <c r="C56" s="80">
        <f>'WAM Projections'!J39/1000</f>
        <v>37.937121340515439</v>
      </c>
      <c r="D56" s="80">
        <f>'WAM Projections'!D39/1000</f>
        <v>0.55036766728215014</v>
      </c>
      <c r="E56" s="80">
        <f>'WAM Projections'!E39/1000</f>
        <v>2.0657539633650593E-2</v>
      </c>
      <c r="F56" s="2">
        <f t="shared" si="2"/>
        <v>15.410294683900204</v>
      </c>
      <c r="G56" s="2">
        <f t="shared" si="2"/>
        <v>5.474248002917407</v>
      </c>
      <c r="H56" s="2">
        <f t="shared" si="3"/>
        <v>58.82166402733305</v>
      </c>
      <c r="I56" s="2"/>
      <c r="J56" s="2"/>
      <c r="K56" s="74">
        <f t="shared" si="5"/>
        <v>0.13922648534679405</v>
      </c>
      <c r="L56" s="73"/>
      <c r="M56" s="3">
        <f t="shared" si="6"/>
        <v>0.13883236034407986</v>
      </c>
      <c r="N56" s="3">
        <f t="shared" si="7"/>
        <v>0.11797954679210698</v>
      </c>
      <c r="O56" s="3">
        <f t="shared" si="8"/>
        <v>0.19627735968632387</v>
      </c>
      <c r="P56" s="3"/>
      <c r="Q56" s="3"/>
      <c r="R56" s="3"/>
      <c r="X56" s="75"/>
      <c r="Y56" s="143" t="s">
        <v>350</v>
      </c>
      <c r="Z56" s="143"/>
      <c r="AA56" s="75"/>
      <c r="AB56" s="81"/>
      <c r="AN56" s="1"/>
      <c r="AO56" s="1"/>
      <c r="AP56" s="1"/>
      <c r="AQ56" s="2"/>
      <c r="AS56" s="2"/>
      <c r="AT56" s="2"/>
    </row>
    <row r="57" spans="2:49" x14ac:dyDescent="0.35">
      <c r="B57">
        <f t="shared" si="4"/>
        <v>2027</v>
      </c>
      <c r="C57" s="80">
        <f>'WAM Projections'!J40/1000</f>
        <v>37.870878645431397</v>
      </c>
      <c r="D57" s="80">
        <f>'WAM Projections'!D40/1000</f>
        <v>0.54064817881673566</v>
      </c>
      <c r="E57" s="80">
        <f>'WAM Projections'!E40/1000</f>
        <v>2.0278428563695598E-2</v>
      </c>
      <c r="F57" s="2">
        <f t="shared" si="2"/>
        <v>15.138149006868598</v>
      </c>
      <c r="G57" s="2">
        <f t="shared" si="2"/>
        <v>5.3737835693793334</v>
      </c>
      <c r="H57" s="2">
        <f t="shared" si="3"/>
        <v>58.382811221679333</v>
      </c>
      <c r="I57" s="2"/>
      <c r="J57" s="2"/>
      <c r="K57" s="74">
        <f t="shared" si="5"/>
        <v>0.14564848782129802</v>
      </c>
      <c r="L57" s="73"/>
      <c r="M57" s="3">
        <f t="shared" si="6"/>
        <v>0.14033606076610028</v>
      </c>
      <c r="N57" s="3">
        <f t="shared" si="7"/>
        <v>0.1335560207218861</v>
      </c>
      <c r="O57" s="3">
        <f t="shared" si="8"/>
        <v>0.2110274294197021</v>
      </c>
      <c r="X57" s="75"/>
      <c r="Y57" s="2"/>
      <c r="Z57" s="2"/>
      <c r="AA57" s="75"/>
      <c r="AB57" s="2"/>
      <c r="AN57" s="1"/>
      <c r="AO57" s="1"/>
      <c r="AP57" s="1"/>
      <c r="AQ57" s="2"/>
      <c r="AS57" s="2"/>
      <c r="AT57" s="2"/>
    </row>
    <row r="58" spans="2:49" x14ac:dyDescent="0.35">
      <c r="B58">
        <f t="shared" si="4"/>
        <v>2028</v>
      </c>
      <c r="C58" s="80">
        <f>'WAM Projections'!J41/1000</f>
        <v>36.583778559859176</v>
      </c>
      <c r="D58" s="80">
        <f>'WAM Projections'!D41/1000</f>
        <v>0.52961966802894</v>
      </c>
      <c r="E58" s="80">
        <f>'WAM Projections'!E41/1000</f>
        <v>1.9840267160055495E-2</v>
      </c>
      <c r="F58" s="2">
        <f t="shared" si="2"/>
        <v>14.82935070481032</v>
      </c>
      <c r="G58" s="2">
        <f t="shared" si="2"/>
        <v>5.2576707974147059</v>
      </c>
      <c r="H58" s="2">
        <f t="shared" si="3"/>
        <v>56.670800062084204</v>
      </c>
      <c r="I58" s="2"/>
      <c r="J58" s="2"/>
      <c r="K58" s="74">
        <f t="shared" si="5"/>
        <v>0.17070139795803663</v>
      </c>
      <c r="L58" s="73"/>
      <c r="M58" s="3">
        <f t="shared" si="6"/>
        <v>0.16955306257138547</v>
      </c>
      <c r="N58" s="3">
        <f t="shared" si="7"/>
        <v>0.15123033675010733</v>
      </c>
      <c r="O58" s="3">
        <f t="shared" si="8"/>
        <v>0.22807496975909036</v>
      </c>
      <c r="R58" s="2"/>
      <c r="AN58" s="1"/>
      <c r="AO58" s="1"/>
      <c r="AP58" s="1"/>
      <c r="AQ58" s="2"/>
      <c r="AS58" s="2"/>
      <c r="AT58" s="2"/>
    </row>
    <row r="59" spans="2:49" x14ac:dyDescent="0.35">
      <c r="B59">
        <f t="shared" si="4"/>
        <v>2029</v>
      </c>
      <c r="C59" s="80">
        <f>'WAM Projections'!J42/1000</f>
        <v>36.158157819520802</v>
      </c>
      <c r="D59" s="80">
        <f>'WAM Projections'!D42/1000</f>
        <v>0.51835836578488603</v>
      </c>
      <c r="E59" s="80">
        <f>'WAM Projections'!E42/1000</f>
        <v>1.9429517461533281E-2</v>
      </c>
      <c r="F59" s="2">
        <f t="shared" si="2"/>
        <v>14.514034241976809</v>
      </c>
      <c r="G59" s="2">
        <f t="shared" si="2"/>
        <v>5.1488221273063193</v>
      </c>
      <c r="H59" s="2">
        <f t="shared" si="3"/>
        <v>55.821014188803929</v>
      </c>
      <c r="I59" s="2"/>
      <c r="J59" s="2"/>
      <c r="K59" s="74">
        <f t="shared" si="5"/>
        <v>0.18313683624326105</v>
      </c>
      <c r="L59" s="73"/>
      <c r="M59" s="3">
        <f t="shared" si="6"/>
        <v>0.17921459711576748</v>
      </c>
      <c r="N59" s="3">
        <f t="shared" si="7"/>
        <v>0.16927772488622672</v>
      </c>
      <c r="O59" s="3">
        <f t="shared" si="8"/>
        <v>0.24405600322478682</v>
      </c>
      <c r="R59" s="2"/>
      <c r="X59" s="75"/>
      <c r="Y59" s="2"/>
      <c r="Z59" s="2"/>
      <c r="AN59" s="1"/>
      <c r="AO59" s="1"/>
      <c r="AP59" s="1"/>
      <c r="AQ59" s="2"/>
      <c r="AS59" s="2"/>
      <c r="AT59" s="2"/>
    </row>
    <row r="60" spans="2:49" x14ac:dyDescent="0.35">
      <c r="B60">
        <f t="shared" si="4"/>
        <v>2030</v>
      </c>
      <c r="C60" s="80">
        <f>'WAM Projections'!J43/1000</f>
        <v>36.407173574748441</v>
      </c>
      <c r="D60" s="80">
        <f>'WAM Projections'!D43/1000</f>
        <v>0.50714823688842259</v>
      </c>
      <c r="E60" s="80">
        <f>'WAM Projections'!E43/1000</f>
        <v>1.9050040558681376E-2</v>
      </c>
      <c r="F60" s="70">
        <f t="shared" si="2"/>
        <v>14.200150632875832</v>
      </c>
      <c r="G60" s="70">
        <f t="shared" si="2"/>
        <v>5.0482607480505646</v>
      </c>
      <c r="H60" s="70">
        <f t="shared" si="3"/>
        <v>55.65558495567484</v>
      </c>
      <c r="I60" s="70"/>
      <c r="J60" s="70"/>
      <c r="K60" s="74">
        <f t="shared" si="5"/>
        <v>0.18555766375267568</v>
      </c>
      <c r="L60" s="73"/>
      <c r="M60" s="72">
        <f t="shared" si="6"/>
        <v>0.17356197238861126</v>
      </c>
      <c r="N60" s="72">
        <f t="shared" si="7"/>
        <v>0.18724310250116682</v>
      </c>
      <c r="O60" s="72">
        <f t="shared" si="8"/>
        <v>0.25882030641418319</v>
      </c>
      <c r="P60" s="3">
        <f>M60</f>
        <v>0.17356197238861126</v>
      </c>
      <c r="Q60" s="3">
        <f t="shared" ref="Q60:R60" si="11">N60</f>
        <v>0.18724310250116682</v>
      </c>
      <c r="R60" s="3">
        <f t="shared" si="11"/>
        <v>0.25882030641418319</v>
      </c>
      <c r="S60" s="3">
        <f>K60</f>
        <v>0.18555766375267568</v>
      </c>
      <c r="T60" s="3"/>
      <c r="X60" s="75"/>
      <c r="AN60" s="1"/>
      <c r="AO60" s="1"/>
      <c r="AP60" s="1"/>
      <c r="AQ60" s="2"/>
      <c r="AS60" s="2"/>
      <c r="AT60" s="2"/>
      <c r="AW60" s="2"/>
    </row>
    <row r="61" spans="2:49" x14ac:dyDescent="0.35">
      <c r="B61">
        <f t="shared" si="4"/>
        <v>2031</v>
      </c>
      <c r="C61" s="80">
        <f>'WAM Projections'!J44/1000</f>
        <v>37.132582139754682</v>
      </c>
      <c r="D61" s="80">
        <f>'WAM Projections'!D44/1000</f>
        <v>0.50844005447261675</v>
      </c>
      <c r="E61" s="80">
        <f>'WAM Projections'!E44/1000</f>
        <v>1.9080954359167127E-2</v>
      </c>
      <c r="F61" s="2">
        <f t="shared" ref="F61:G76" si="12">D61*F$5</f>
        <v>14.236321525233269</v>
      </c>
      <c r="G61" s="2">
        <f t="shared" si="12"/>
        <v>5.056452905179289</v>
      </c>
      <c r="H61" s="2">
        <f>SUM(F61:G61)+C61+U61</f>
        <v>56.171445397191526</v>
      </c>
      <c r="I61" s="2"/>
      <c r="J61" s="2"/>
      <c r="K61" s="74">
        <f t="shared" si="5"/>
        <v>0.17800876127503518</v>
      </c>
      <c r="L61" s="73"/>
      <c r="M61" s="3">
        <f t="shared" si="6"/>
        <v>0.15709529385216003</v>
      </c>
      <c r="N61" s="3">
        <f t="shared" si="7"/>
        <v>0.18517283275458174</v>
      </c>
      <c r="O61" s="3">
        <f t="shared" si="8"/>
        <v>0.25761754355911093</v>
      </c>
      <c r="U61" s="2">
        <f>U60+$A$79</f>
        <v>-0.25391117297571114</v>
      </c>
      <c r="V61" s="2">
        <f>U61</f>
        <v>-0.25391117297571114</v>
      </c>
      <c r="Z61" s="2"/>
      <c r="AN61" s="1"/>
      <c r="AO61" s="1"/>
      <c r="AP61" s="1"/>
      <c r="AQ61" s="2"/>
      <c r="AS61" s="2"/>
      <c r="AT61" s="2"/>
      <c r="AW61" s="2"/>
    </row>
    <row r="62" spans="2:49" x14ac:dyDescent="0.35">
      <c r="B62">
        <f t="shared" si="4"/>
        <v>2032</v>
      </c>
      <c r="C62" s="80">
        <f>'WAM Projections'!J45/1000</f>
        <v>37.393101437334174</v>
      </c>
      <c r="D62" s="80">
        <f>'WAM Projections'!D45/1000</f>
        <v>0.5096238310852369</v>
      </c>
      <c r="E62" s="80">
        <f>'WAM Projections'!E45/1000</f>
        <v>1.9057902924445574E-2</v>
      </c>
      <c r="F62" s="2">
        <f t="shared" si="12"/>
        <v>14.269467270386633</v>
      </c>
      <c r="G62" s="2">
        <f t="shared" si="12"/>
        <v>5.0503442749780767</v>
      </c>
      <c r="H62" s="2">
        <f t="shared" ref="H62:H80" si="13">SUM(F62:G62)+C62+U62</f>
        <v>56.205090636747457</v>
      </c>
      <c r="I62" s="2"/>
      <c r="J62" s="2"/>
      <c r="K62" s="74">
        <f t="shared" si="5"/>
        <v>0.17751640983304862</v>
      </c>
      <c r="L62" s="73"/>
      <c r="M62" s="3">
        <f t="shared" si="6"/>
        <v>0.15118154023422936</v>
      </c>
      <c r="N62" s="3">
        <f t="shared" si="7"/>
        <v>0.18327570971042428</v>
      </c>
      <c r="O62" s="3">
        <f t="shared" si="8"/>
        <v>0.25851440544615023</v>
      </c>
      <c r="U62" s="2">
        <f>U61+$A$79</f>
        <v>-0.50782234595142228</v>
      </c>
      <c r="V62" s="2">
        <f>U62+V61</f>
        <v>-0.76173351892713348</v>
      </c>
      <c r="AN62" s="1"/>
      <c r="AO62" s="1"/>
      <c r="AP62" s="1"/>
      <c r="AQ62" s="2"/>
      <c r="AS62" s="2"/>
      <c r="AT62" s="2"/>
      <c r="AW62" s="2"/>
    </row>
    <row r="63" spans="2:49" x14ac:dyDescent="0.35">
      <c r="B63">
        <f t="shared" si="4"/>
        <v>2033</v>
      </c>
      <c r="C63" s="80">
        <f>'WAM Projections'!J46/1000</f>
        <v>37.364200054290251</v>
      </c>
      <c r="D63" s="80">
        <f>'WAM Projections'!D46/1000</f>
        <v>0.51094099386105918</v>
      </c>
      <c r="E63" s="80">
        <f>'WAM Projections'!E46/1000</f>
        <v>1.9063571295598422E-2</v>
      </c>
      <c r="F63" s="2">
        <f t="shared" si="12"/>
        <v>14.306347828109658</v>
      </c>
      <c r="G63" s="2">
        <f t="shared" si="12"/>
        <v>5.051846393333582</v>
      </c>
      <c r="H63" s="2">
        <f t="shared" si="13"/>
        <v>55.960660756806362</v>
      </c>
      <c r="I63" s="2"/>
      <c r="J63" s="2"/>
      <c r="K63" s="74">
        <f t="shared" si="5"/>
        <v>0.18109330229813403</v>
      </c>
      <c r="L63" s="73"/>
      <c r="M63" s="3">
        <f t="shared" si="6"/>
        <v>0.15183759780895489</v>
      </c>
      <c r="N63" s="3">
        <f t="shared" si="7"/>
        <v>0.18116482170311021</v>
      </c>
      <c r="O63" s="3">
        <f t="shared" si="8"/>
        <v>0.2582938661994616</v>
      </c>
      <c r="U63" s="2">
        <f t="shared" ref="U63:U80" si="14">U62+$A$79</f>
        <v>-0.76173351892713348</v>
      </c>
      <c r="V63" s="2">
        <f t="shared" ref="V63:V93" si="15">U63+V62</f>
        <v>-1.523467037854267</v>
      </c>
      <c r="AN63" s="1"/>
      <c r="AO63" s="1"/>
      <c r="AP63" s="1"/>
      <c r="AQ63" s="2"/>
      <c r="AS63" s="2"/>
      <c r="AT63" s="2"/>
      <c r="AW63" s="2"/>
    </row>
    <row r="64" spans="2:49" x14ac:dyDescent="0.35">
      <c r="B64">
        <f t="shared" si="4"/>
        <v>2034</v>
      </c>
      <c r="C64" s="80">
        <f>'WAM Projections'!J47/1000</f>
        <v>38.724742914179345</v>
      </c>
      <c r="D64" s="80">
        <f>'WAM Projections'!D47/1000</f>
        <v>0.51236918056843839</v>
      </c>
      <c r="E64" s="80">
        <f>'WAM Projections'!E47/1000</f>
        <v>1.9089487734951706E-2</v>
      </c>
      <c r="F64" s="2">
        <f t="shared" si="12"/>
        <v>14.346337055916274</v>
      </c>
      <c r="G64" s="2">
        <f t="shared" si="12"/>
        <v>5.0587142497622022</v>
      </c>
      <c r="H64" s="2">
        <f t="shared" si="13"/>
        <v>57.114149527954979</v>
      </c>
      <c r="I64" s="2"/>
      <c r="J64" s="2"/>
      <c r="K64" s="74">
        <f t="shared" si="5"/>
        <v>0.16421359309451089</v>
      </c>
      <c r="L64" s="73"/>
      <c r="M64" s="3">
        <f t="shared" si="6"/>
        <v>0.120953454734817</v>
      </c>
      <c r="N64" s="3">
        <f t="shared" si="7"/>
        <v>0.17887600649503532</v>
      </c>
      <c r="O64" s="3">
        <f t="shared" si="8"/>
        <v>0.25728553561247247</v>
      </c>
      <c r="U64" s="2">
        <f t="shared" si="14"/>
        <v>-1.0156446919028446</v>
      </c>
      <c r="V64" s="2">
        <f t="shared" si="15"/>
        <v>-2.5391117297571117</v>
      </c>
      <c r="AN64" s="1"/>
      <c r="AO64" s="1"/>
      <c r="AP64" s="1"/>
      <c r="AQ64" s="2"/>
      <c r="AS64" s="2"/>
      <c r="AT64" s="2"/>
      <c r="AW64" s="2"/>
    </row>
    <row r="65" spans="1:49" x14ac:dyDescent="0.35">
      <c r="B65">
        <f t="shared" si="4"/>
        <v>2035</v>
      </c>
      <c r="C65" s="80">
        <f>'WAM Projections'!J48/1000</f>
        <v>39.112067062213704</v>
      </c>
      <c r="D65" s="80">
        <f>'WAM Projections'!D48/1000</f>
        <v>0.51388704784276373</v>
      </c>
      <c r="E65" s="80">
        <f>'WAM Projections'!E48/1000</f>
        <v>1.913849913108135E-2</v>
      </c>
      <c r="F65" s="2">
        <f t="shared" si="12"/>
        <v>14.388837339597384</v>
      </c>
      <c r="G65" s="2">
        <f t="shared" si="12"/>
        <v>5.0717022697365577</v>
      </c>
      <c r="H65" s="2">
        <f t="shared" si="13"/>
        <v>57.303050806669091</v>
      </c>
      <c r="I65" s="2"/>
      <c r="J65" s="2"/>
      <c r="K65" s="74">
        <f t="shared" si="5"/>
        <v>0.16144928473482778</v>
      </c>
      <c r="L65" s="73"/>
      <c r="M65" s="3">
        <f t="shared" si="6"/>
        <v>0.11216124777344516</v>
      </c>
      <c r="N65" s="3">
        <f t="shared" si="7"/>
        <v>0.17644346901000985</v>
      </c>
      <c r="O65" s="3">
        <f t="shared" si="8"/>
        <v>0.25537864982639324</v>
      </c>
      <c r="U65" s="2">
        <f t="shared" si="14"/>
        <v>-1.2695558648785557</v>
      </c>
      <c r="V65" s="2">
        <f t="shared" si="15"/>
        <v>-3.8086675946356676</v>
      </c>
      <c r="AN65" s="1"/>
      <c r="AO65" s="1"/>
      <c r="AP65" s="1"/>
      <c r="AQ65" s="2"/>
      <c r="AS65" s="2"/>
      <c r="AT65" s="2"/>
      <c r="AW65" s="2"/>
    </row>
    <row r="66" spans="1:49" x14ac:dyDescent="0.35">
      <c r="B66">
        <f t="shared" si="4"/>
        <v>2036</v>
      </c>
      <c r="C66" s="80">
        <f>'WAM Projections'!J49/1000</f>
        <v>39.502816314188848</v>
      </c>
      <c r="D66" s="80">
        <f>'WAM Projections'!D49/1000</f>
        <v>0.51484044882840418</v>
      </c>
      <c r="E66" s="80">
        <f>'WAM Projections'!E49/1000</f>
        <v>1.9124297380356606E-2</v>
      </c>
      <c r="F66" s="2">
        <f t="shared" si="12"/>
        <v>14.415532567195317</v>
      </c>
      <c r="G66" s="2">
        <f t="shared" si="12"/>
        <v>5.0679388057945003</v>
      </c>
      <c r="H66" s="2">
        <f t="shared" si="13"/>
        <v>57.462820649324399</v>
      </c>
      <c r="I66" s="2"/>
      <c r="J66" s="2"/>
      <c r="K66" s="74">
        <f t="shared" si="5"/>
        <v>0.15911127455996954</v>
      </c>
      <c r="L66" s="73"/>
      <c r="M66" s="3">
        <f t="shared" si="6"/>
        <v>0.10329129140536986</v>
      </c>
      <c r="N66" s="3">
        <f t="shared" si="7"/>
        <v>0.17491554646035112</v>
      </c>
      <c r="O66" s="3">
        <f t="shared" si="8"/>
        <v>0.25593119716707335</v>
      </c>
      <c r="U66" s="2">
        <f t="shared" si="14"/>
        <v>-1.5234670378542667</v>
      </c>
      <c r="V66" s="2">
        <f t="shared" si="15"/>
        <v>-5.3321346324899341</v>
      </c>
      <c r="AN66" s="1"/>
      <c r="AO66" s="1"/>
      <c r="AP66" s="1"/>
      <c r="AQ66" s="2"/>
      <c r="AS66" s="2"/>
      <c r="AT66" s="2"/>
      <c r="AW66" s="2"/>
    </row>
    <row r="67" spans="1:49" x14ac:dyDescent="0.35">
      <c r="B67">
        <f t="shared" si="4"/>
        <v>2037</v>
      </c>
      <c r="C67" s="80">
        <f>'WAM Projections'!J50/1000</f>
        <v>39.950200570806409</v>
      </c>
      <c r="D67" s="80">
        <f>'WAM Projections'!D50/1000</f>
        <v>0.51598174847674161</v>
      </c>
      <c r="E67" s="80">
        <f>'WAM Projections'!E50/1000</f>
        <v>1.9141829848980128E-2</v>
      </c>
      <c r="F67" s="2">
        <f t="shared" si="12"/>
        <v>14.447488957348765</v>
      </c>
      <c r="G67" s="2">
        <f t="shared" si="12"/>
        <v>5.0725849099797342</v>
      </c>
      <c r="H67" s="2">
        <f t="shared" si="13"/>
        <v>57.692896227304928</v>
      </c>
      <c r="I67" s="2"/>
      <c r="J67" s="2"/>
      <c r="K67" s="74">
        <f t="shared" si="5"/>
        <v>0.15574443740619326</v>
      </c>
      <c r="L67" s="73"/>
      <c r="M67" s="3">
        <f t="shared" si="6"/>
        <v>9.3135727918292388E-2</v>
      </c>
      <c r="N67" s="3">
        <f t="shared" si="7"/>
        <v>0.17308649709405444</v>
      </c>
      <c r="O67" s="3">
        <f t="shared" si="8"/>
        <v>0.2552490616260934</v>
      </c>
      <c r="U67" s="2">
        <f t="shared" si="14"/>
        <v>-1.7773782108299778</v>
      </c>
      <c r="V67" s="2">
        <f t="shared" si="15"/>
        <v>-7.1095128433199122</v>
      </c>
      <c r="AN67" s="1"/>
      <c r="AO67" s="1"/>
      <c r="AP67" s="1"/>
      <c r="AQ67" s="2"/>
      <c r="AS67" s="2"/>
      <c r="AT67" s="2"/>
      <c r="AW67" s="2"/>
    </row>
    <row r="68" spans="1:49" x14ac:dyDescent="0.35">
      <c r="B68">
        <f t="shared" si="4"/>
        <v>2038</v>
      </c>
      <c r="C68" s="80">
        <f>'WAM Projections'!J51/1000</f>
        <v>39.925010131859032</v>
      </c>
      <c r="D68" s="80">
        <f>'WAM Projections'!D51/1000</f>
        <v>0.51720791300392288</v>
      </c>
      <c r="E68" s="80">
        <f>'WAM Projections'!E51/1000</f>
        <v>1.9174190364964139E-2</v>
      </c>
      <c r="F68" s="2">
        <f t="shared" si="12"/>
        <v>14.48182156410984</v>
      </c>
      <c r="G68" s="2">
        <f t="shared" si="12"/>
        <v>5.0811604467154972</v>
      </c>
      <c r="H68" s="2">
        <f t="shared" si="13"/>
        <v>57.456702758878677</v>
      </c>
      <c r="I68" s="2"/>
      <c r="J68" s="2"/>
      <c r="K68" s="74">
        <f t="shared" si="5"/>
        <v>0.15920080140604409</v>
      </c>
      <c r="L68" s="73"/>
      <c r="M68" s="3">
        <f t="shared" si="6"/>
        <v>9.3707547552562942E-2</v>
      </c>
      <c r="N68" s="3">
        <f t="shared" si="7"/>
        <v>0.17112144308331911</v>
      </c>
      <c r="O68" s="3">
        <f t="shared" si="8"/>
        <v>0.25399001142893374</v>
      </c>
      <c r="U68" s="2">
        <f t="shared" si="14"/>
        <v>-2.0312893838056891</v>
      </c>
      <c r="V68" s="2">
        <f t="shared" si="15"/>
        <v>-9.1408022271256009</v>
      </c>
      <c r="AN68" s="1"/>
      <c r="AO68" s="1"/>
      <c r="AP68" s="1"/>
      <c r="AQ68" s="2"/>
      <c r="AS68" s="2"/>
      <c r="AT68" s="2"/>
      <c r="AW68" s="2"/>
    </row>
    <row r="69" spans="1:49" x14ac:dyDescent="0.35">
      <c r="B69">
        <f t="shared" si="4"/>
        <v>2039</v>
      </c>
      <c r="C69" s="80">
        <f>'WAM Projections'!J52/1000</f>
        <v>39.75863072429123</v>
      </c>
      <c r="D69" s="80">
        <f>'WAM Projections'!D52/1000</f>
        <v>0.51831832116019383</v>
      </c>
      <c r="E69" s="80">
        <f>'WAM Projections'!E52/1000</f>
        <v>1.9153993935809816E-2</v>
      </c>
      <c r="F69" s="2">
        <f t="shared" si="12"/>
        <v>14.512912992485427</v>
      </c>
      <c r="G69" s="2">
        <f t="shared" si="12"/>
        <v>5.0758083929896012</v>
      </c>
      <c r="H69" s="2">
        <f t="shared" si="13"/>
        <v>57.062151552984865</v>
      </c>
      <c r="I69" s="2"/>
      <c r="J69" s="2"/>
      <c r="K69" s="74">
        <f t="shared" si="5"/>
        <v>0.16497451137878583</v>
      </c>
      <c r="L69" s="73"/>
      <c r="M69" s="3">
        <f t="shared" si="6"/>
        <v>9.7484338111247126E-2</v>
      </c>
      <c r="N69" s="3">
        <f t="shared" si="7"/>
        <v>0.16934190049122533</v>
      </c>
      <c r="O69" s="3">
        <f t="shared" si="8"/>
        <v>0.25477579364950265</v>
      </c>
      <c r="U69" s="2">
        <f t="shared" si="14"/>
        <v>-2.2852005567814002</v>
      </c>
      <c r="V69" s="2">
        <f t="shared" si="15"/>
        <v>-11.426002783907002</v>
      </c>
      <c r="AN69" s="1"/>
      <c r="AO69" s="1"/>
      <c r="AP69" s="1"/>
      <c r="AQ69" s="2"/>
      <c r="AS69" s="2"/>
      <c r="AT69" s="2"/>
      <c r="AW69" s="2"/>
    </row>
    <row r="70" spans="1:49" x14ac:dyDescent="0.35">
      <c r="B70">
        <f t="shared" si="4"/>
        <v>2040</v>
      </c>
      <c r="C70" s="80">
        <f>'WAM Projections'!J53/1000</f>
        <v>40.175462122721363</v>
      </c>
      <c r="D70" s="80">
        <f>'WAM Projections'!D53/1000</f>
        <v>0.5195613861832552</v>
      </c>
      <c r="E70" s="80">
        <f>'WAM Projections'!E53/1000</f>
        <v>1.9163107394393294E-2</v>
      </c>
      <c r="F70" s="2">
        <f t="shared" si="12"/>
        <v>14.547718813131146</v>
      </c>
      <c r="G70" s="2">
        <f t="shared" si="12"/>
        <v>5.0782234595142226</v>
      </c>
      <c r="H70" s="2">
        <f t="shared" si="13"/>
        <v>57.262292665609621</v>
      </c>
      <c r="I70" s="2"/>
      <c r="J70" s="2"/>
      <c r="K70" s="74">
        <f t="shared" si="5"/>
        <v>0.16204572363043923</v>
      </c>
      <c r="L70" s="73"/>
      <c r="M70" s="3">
        <f t="shared" si="6"/>
        <v>8.8022320466350168E-2</v>
      </c>
      <c r="N70" s="3">
        <f t="shared" si="7"/>
        <v>0.16734976170803373</v>
      </c>
      <c r="O70" s="3">
        <f t="shared" si="8"/>
        <v>0.25442121642854598</v>
      </c>
      <c r="P70" s="3">
        <f>M70</f>
        <v>8.8022320466350168E-2</v>
      </c>
      <c r="Q70" s="3">
        <f t="shared" ref="Q70:R70" si="16">N70</f>
        <v>0.16734976170803373</v>
      </c>
      <c r="R70" s="3">
        <f t="shared" si="16"/>
        <v>0.25442121642854598</v>
      </c>
      <c r="S70" s="3">
        <f>K70</f>
        <v>0.16204572363043923</v>
      </c>
      <c r="T70" s="3"/>
      <c r="U70" s="2">
        <f t="shared" si="14"/>
        <v>-2.5391117297571113</v>
      </c>
      <c r="V70" s="2">
        <f t="shared" si="15"/>
        <v>-13.965114513664114</v>
      </c>
      <c r="AN70" s="1"/>
      <c r="AO70" s="1"/>
      <c r="AP70" s="1"/>
      <c r="AQ70" s="2"/>
      <c r="AS70" s="2"/>
      <c r="AT70" s="2"/>
      <c r="AW70" s="2"/>
    </row>
    <row r="71" spans="1:49" x14ac:dyDescent="0.35">
      <c r="B71">
        <f t="shared" si="4"/>
        <v>2041</v>
      </c>
      <c r="C71" s="80">
        <f>'WAM Projections'!J54/1000</f>
        <v>36.157915910449226</v>
      </c>
      <c r="D71" s="80">
        <f>'WAM Projections'!D54/1000</f>
        <v>0.5195613861832552</v>
      </c>
      <c r="E71" s="80">
        <f>'WAM Projections'!E54/1000</f>
        <v>1.9163107394393294E-2</v>
      </c>
      <c r="F71" s="2">
        <f t="shared" si="12"/>
        <v>14.547718813131146</v>
      </c>
      <c r="G71" s="2">
        <f t="shared" si="12"/>
        <v>5.0782234595142226</v>
      </c>
      <c r="H71" s="2">
        <f t="shared" si="13"/>
        <v>52.990835280361772</v>
      </c>
      <c r="I71" s="2"/>
      <c r="J71" s="2"/>
      <c r="K71" s="74">
        <f t="shared" si="5"/>
        <v>0.22455258138411793</v>
      </c>
      <c r="L71" s="73"/>
      <c r="M71" s="3">
        <f t="shared" si="6"/>
        <v>0.17922008841971515</v>
      </c>
      <c r="N71" s="3">
        <f t="shared" si="7"/>
        <v>0.16734976170803373</v>
      </c>
      <c r="O71" s="3">
        <f t="shared" si="8"/>
        <v>0.25442121642854598</v>
      </c>
      <c r="U71" s="2">
        <f t="shared" si="14"/>
        <v>-2.7930229027328224</v>
      </c>
      <c r="V71" s="2">
        <f t="shared" si="15"/>
        <v>-16.758137416396934</v>
      </c>
      <c r="AN71" s="1"/>
      <c r="AO71" s="1"/>
      <c r="AP71" s="1"/>
      <c r="AQ71" s="2"/>
      <c r="AS71" s="2"/>
      <c r="AT71" s="2"/>
      <c r="AW71" s="2"/>
    </row>
    <row r="72" spans="1:49" x14ac:dyDescent="0.35">
      <c r="B72">
        <f t="shared" si="4"/>
        <v>2042</v>
      </c>
      <c r="C72" s="80">
        <f>'WAM Projections'!J55/1000</f>
        <v>32.140369698177089</v>
      </c>
      <c r="D72" s="80">
        <f>'WAM Projections'!D55/1000</f>
        <v>0.5195613861832552</v>
      </c>
      <c r="E72" s="80">
        <f>'WAM Projections'!E55/1000</f>
        <v>1.9163107394393294E-2</v>
      </c>
      <c r="F72" s="2">
        <f t="shared" si="12"/>
        <v>14.547718813131146</v>
      </c>
      <c r="G72" s="2">
        <f t="shared" si="12"/>
        <v>5.0782234595142226</v>
      </c>
      <c r="H72" s="2">
        <f t="shared" si="13"/>
        <v>48.719377895113922</v>
      </c>
      <c r="I72" s="2"/>
      <c r="J72" s="2"/>
      <c r="K72" s="74">
        <f t="shared" si="5"/>
        <v>0.28705943913779652</v>
      </c>
      <c r="L72" s="73"/>
      <c r="M72" s="3">
        <f t="shared" si="6"/>
        <v>0.27041785637308013</v>
      </c>
      <c r="N72" s="3">
        <f t="shared" si="7"/>
        <v>0.16734976170803373</v>
      </c>
      <c r="O72" s="3">
        <f t="shared" si="8"/>
        <v>0.25442121642854598</v>
      </c>
      <c r="U72" s="2">
        <f t="shared" si="14"/>
        <v>-3.0469340757085335</v>
      </c>
      <c r="V72" s="2">
        <f t="shared" si="15"/>
        <v>-19.805071492105469</v>
      </c>
      <c r="AN72" s="1"/>
      <c r="AO72" s="1"/>
      <c r="AP72" s="1"/>
      <c r="AQ72" s="2"/>
      <c r="AS72" s="2"/>
      <c r="AT72" s="2"/>
      <c r="AW72" s="2"/>
    </row>
    <row r="73" spans="1:49" x14ac:dyDescent="0.35">
      <c r="B73">
        <f t="shared" si="4"/>
        <v>2043</v>
      </c>
      <c r="C73" s="80">
        <f>'WAM Projections'!J56/1000</f>
        <v>28.122823485904956</v>
      </c>
      <c r="D73" s="80">
        <f>'WAM Projections'!D56/1000</f>
        <v>0.5195613861832552</v>
      </c>
      <c r="E73" s="80">
        <f>'WAM Projections'!E56/1000</f>
        <v>1.9163107394393294E-2</v>
      </c>
      <c r="F73" s="2">
        <f t="shared" si="12"/>
        <v>14.547718813131146</v>
      </c>
      <c r="G73" s="2">
        <f t="shared" si="12"/>
        <v>5.0782234595142226</v>
      </c>
      <c r="H73" s="2">
        <f t="shared" si="13"/>
        <v>44.447920509866073</v>
      </c>
      <c r="I73" s="2"/>
      <c r="J73" s="2"/>
      <c r="K73" s="74">
        <f t="shared" si="5"/>
        <v>0.34956629689147523</v>
      </c>
      <c r="L73" s="73"/>
      <c r="M73" s="3">
        <f t="shared" si="6"/>
        <v>0.36161562432644501</v>
      </c>
      <c r="N73" s="3">
        <f t="shared" si="7"/>
        <v>0.16734976170803373</v>
      </c>
      <c r="O73" s="3">
        <f t="shared" si="8"/>
        <v>0.25442121642854598</v>
      </c>
      <c r="U73" s="2">
        <f t="shared" si="14"/>
        <v>-3.3008452486842446</v>
      </c>
      <c r="V73" s="2">
        <f t="shared" si="15"/>
        <v>-23.105916740789713</v>
      </c>
      <c r="AN73" s="1"/>
      <c r="AO73" s="1"/>
      <c r="AP73" s="1"/>
      <c r="AQ73" s="2"/>
      <c r="AS73" s="2"/>
      <c r="AT73" s="2"/>
      <c r="AW73" s="2"/>
    </row>
    <row r="74" spans="1:49" x14ac:dyDescent="0.35">
      <c r="B74">
        <f t="shared" si="4"/>
        <v>2044</v>
      </c>
      <c r="C74" s="80">
        <f>'WAM Projections'!J57/1000</f>
        <v>24.105277273632819</v>
      </c>
      <c r="D74" s="80">
        <f>'WAM Projections'!D57/1000</f>
        <v>0.5195613861832552</v>
      </c>
      <c r="E74" s="80">
        <f>'WAM Projections'!E57/1000</f>
        <v>1.9163107394393294E-2</v>
      </c>
      <c r="F74" s="2">
        <f t="shared" si="12"/>
        <v>14.547718813131146</v>
      </c>
      <c r="G74" s="2">
        <f t="shared" si="12"/>
        <v>5.0782234595142226</v>
      </c>
      <c r="H74" s="2">
        <f t="shared" si="13"/>
        <v>40.17646312461823</v>
      </c>
      <c r="I74" s="2"/>
      <c r="J74" s="2"/>
      <c r="K74" s="74">
        <f t="shared" si="5"/>
        <v>0.41207315464515382</v>
      </c>
      <c r="L74" s="73"/>
      <c r="M74" s="3">
        <f t="shared" si="6"/>
        <v>0.4528133922798101</v>
      </c>
      <c r="N74" s="3">
        <f t="shared" si="7"/>
        <v>0.16734976170803373</v>
      </c>
      <c r="O74" s="3">
        <f t="shared" si="8"/>
        <v>0.25442121642854598</v>
      </c>
      <c r="U74" s="2">
        <f t="shared" si="14"/>
        <v>-3.5547564216599556</v>
      </c>
      <c r="V74" s="2">
        <f t="shared" si="15"/>
        <v>-26.660673162449669</v>
      </c>
      <c r="AN74" s="1"/>
      <c r="AO74" s="1"/>
      <c r="AP74" s="1"/>
      <c r="AQ74" s="2"/>
      <c r="AS74" s="2"/>
      <c r="AT74" s="2"/>
      <c r="AW74" s="2"/>
    </row>
    <row r="75" spans="1:49" x14ac:dyDescent="0.35">
      <c r="B75">
        <f t="shared" si="4"/>
        <v>2045</v>
      </c>
      <c r="C75" s="80">
        <f>'WAM Projections'!J58/1000</f>
        <v>20.087731061360682</v>
      </c>
      <c r="D75" s="80">
        <f>'WAM Projections'!D58/1000</f>
        <v>0.5195613861832552</v>
      </c>
      <c r="E75" s="80">
        <f>'WAM Projections'!E58/1000</f>
        <v>1.9163107394393294E-2</v>
      </c>
      <c r="F75" s="2">
        <f t="shared" si="12"/>
        <v>14.547718813131146</v>
      </c>
      <c r="G75" s="2">
        <f t="shared" si="12"/>
        <v>5.0782234595142226</v>
      </c>
      <c r="H75" s="2">
        <f t="shared" si="13"/>
        <v>35.905005739370381</v>
      </c>
      <c r="I75" s="2"/>
      <c r="J75" s="2"/>
      <c r="K75" s="74">
        <f t="shared" si="5"/>
        <v>0.47458001239883241</v>
      </c>
      <c r="L75" s="73"/>
      <c r="M75" s="3">
        <f t="shared" si="6"/>
        <v>0.54401116023317508</v>
      </c>
      <c r="N75" s="3">
        <f t="shared" si="7"/>
        <v>0.16734976170803373</v>
      </c>
      <c r="O75" s="3">
        <f t="shared" si="8"/>
        <v>0.25442121642854598</v>
      </c>
      <c r="U75" s="2">
        <f t="shared" si="14"/>
        <v>-3.8086675946356667</v>
      </c>
      <c r="V75" s="2">
        <f t="shared" si="15"/>
        <v>-30.469340757085334</v>
      </c>
      <c r="AN75" s="1"/>
      <c r="AO75" s="1"/>
      <c r="AP75" s="1"/>
      <c r="AQ75" s="2"/>
      <c r="AS75" s="2"/>
      <c r="AT75" s="2"/>
      <c r="AW75" s="2"/>
    </row>
    <row r="76" spans="1:49" x14ac:dyDescent="0.35">
      <c r="B76">
        <f t="shared" si="4"/>
        <v>2046</v>
      </c>
      <c r="C76" s="80">
        <f>'WAM Projections'!J59/1000</f>
        <v>16.070184849088545</v>
      </c>
      <c r="D76" s="80">
        <f>'WAM Projections'!D59/1000</f>
        <v>0.5195613861832552</v>
      </c>
      <c r="E76" s="80">
        <f>'WAM Projections'!E59/1000</f>
        <v>1.9163107394393294E-2</v>
      </c>
      <c r="F76" s="2">
        <f t="shared" si="12"/>
        <v>14.547718813131146</v>
      </c>
      <c r="G76" s="2">
        <f t="shared" si="12"/>
        <v>5.0782234595142226</v>
      </c>
      <c r="H76" s="2">
        <f t="shared" si="13"/>
        <v>31.633548354122532</v>
      </c>
      <c r="I76" s="2"/>
      <c r="J76" s="2"/>
      <c r="K76" s="74">
        <f t="shared" si="5"/>
        <v>0.53708687015251111</v>
      </c>
      <c r="L76" s="73"/>
      <c r="M76" s="3">
        <f t="shared" si="6"/>
        <v>0.63520892818654007</v>
      </c>
      <c r="N76" s="3">
        <f t="shared" si="7"/>
        <v>0.16734976170803373</v>
      </c>
      <c r="O76" s="3">
        <f t="shared" si="8"/>
        <v>0.25442121642854598</v>
      </c>
      <c r="U76" s="2">
        <f t="shared" si="14"/>
        <v>-4.0625787676113783</v>
      </c>
      <c r="V76" s="2">
        <f t="shared" si="15"/>
        <v>-34.531919524696711</v>
      </c>
      <c r="AN76" s="1"/>
      <c r="AO76" s="1"/>
      <c r="AP76" s="1"/>
      <c r="AQ76" s="2"/>
      <c r="AS76" s="2"/>
      <c r="AT76" s="2"/>
      <c r="AW76" s="2"/>
    </row>
    <row r="77" spans="1:49" x14ac:dyDescent="0.35">
      <c r="B77">
        <f t="shared" si="4"/>
        <v>2047</v>
      </c>
      <c r="C77" s="80">
        <f>'WAM Projections'!J60/1000</f>
        <v>12.052638636816411</v>
      </c>
      <c r="D77" s="80">
        <f>'WAM Projections'!D60/1000</f>
        <v>0.5195613861832552</v>
      </c>
      <c r="E77" s="80">
        <f>'WAM Projections'!E60/1000</f>
        <v>1.9163107394393294E-2</v>
      </c>
      <c r="F77" s="2">
        <f t="shared" ref="F77:G90" si="17">D77*F$5</f>
        <v>14.547718813131146</v>
      </c>
      <c r="G77" s="2">
        <f t="shared" si="17"/>
        <v>5.0782234595142226</v>
      </c>
      <c r="H77" s="2">
        <f t="shared" si="13"/>
        <v>27.362090968874689</v>
      </c>
      <c r="I77" s="2"/>
      <c r="J77" s="2"/>
      <c r="K77" s="74">
        <f t="shared" si="5"/>
        <v>0.5995937279061897</v>
      </c>
      <c r="L77" s="73"/>
      <c r="M77" s="3">
        <f t="shared" si="6"/>
        <v>0.72640669613990494</v>
      </c>
      <c r="N77" s="3">
        <f t="shared" si="7"/>
        <v>0.16734976170803373</v>
      </c>
      <c r="O77" s="3">
        <f t="shared" si="8"/>
        <v>0.25442121642854598</v>
      </c>
      <c r="U77" s="2">
        <f t="shared" si="14"/>
        <v>-4.3164899405870898</v>
      </c>
      <c r="V77" s="2">
        <f t="shared" si="15"/>
        <v>-38.848409465283801</v>
      </c>
      <c r="AN77" s="1"/>
      <c r="AO77" s="1"/>
      <c r="AP77" s="1"/>
      <c r="AQ77" s="2"/>
      <c r="AS77" s="2"/>
      <c r="AT77" s="2"/>
      <c r="AW77" s="2"/>
    </row>
    <row r="78" spans="1:49" x14ac:dyDescent="0.35">
      <c r="B78">
        <f t="shared" si="4"/>
        <v>2048</v>
      </c>
      <c r="C78" s="80">
        <f>'WAM Projections'!J61/1000</f>
        <v>8.0350924245442741</v>
      </c>
      <c r="D78" s="80">
        <f>'WAM Projections'!D61/1000</f>
        <v>0.5195613861832552</v>
      </c>
      <c r="E78" s="80">
        <f>'WAM Projections'!E61/1000</f>
        <v>1.9163107394393294E-2</v>
      </c>
      <c r="F78" s="2">
        <f t="shared" si="17"/>
        <v>14.547718813131146</v>
      </c>
      <c r="G78" s="2">
        <f t="shared" si="17"/>
        <v>5.0782234595142226</v>
      </c>
      <c r="H78" s="2">
        <f t="shared" si="13"/>
        <v>23.09063358362684</v>
      </c>
      <c r="I78" s="2"/>
      <c r="J78" s="2"/>
      <c r="K78" s="74">
        <f t="shared" si="5"/>
        <v>0.66210058565986829</v>
      </c>
      <c r="L78" s="73"/>
      <c r="M78" s="3">
        <f t="shared" si="6"/>
        <v>0.81760446409327003</v>
      </c>
      <c r="N78" s="3">
        <f t="shared" si="7"/>
        <v>0.16734976170803373</v>
      </c>
      <c r="O78" s="3">
        <f t="shared" si="8"/>
        <v>0.25442121642854598</v>
      </c>
      <c r="U78" s="2">
        <f t="shared" si="14"/>
        <v>-4.5704011135628013</v>
      </c>
      <c r="V78" s="2">
        <f t="shared" si="15"/>
        <v>-43.418810578846603</v>
      </c>
      <c r="AN78" s="1"/>
      <c r="AO78" s="1"/>
      <c r="AP78" s="1"/>
      <c r="AQ78" s="2"/>
      <c r="AS78" s="2"/>
      <c r="AT78" s="2"/>
      <c r="AW78" s="2"/>
    </row>
    <row r="79" spans="1:49" x14ac:dyDescent="0.35">
      <c r="A79">
        <f>-A80/20</f>
        <v>-0.25391117297571114</v>
      </c>
      <c r="B79">
        <f t="shared" si="4"/>
        <v>2049</v>
      </c>
      <c r="C79" s="80">
        <f>'WAM Projections'!J62/1000</f>
        <v>4.0175462122721388</v>
      </c>
      <c r="D79" s="80">
        <f>'WAM Projections'!D62/1000</f>
        <v>0.5195613861832552</v>
      </c>
      <c r="E79" s="80">
        <f>'WAM Projections'!E62/1000</f>
        <v>1.9163107394393294E-2</v>
      </c>
      <c r="F79" s="2">
        <f t="shared" si="17"/>
        <v>14.547718813131146</v>
      </c>
      <c r="G79" s="2">
        <f t="shared" si="17"/>
        <v>5.0782234595142226</v>
      </c>
      <c r="H79" s="2">
        <f t="shared" si="13"/>
        <v>18.81917619837899</v>
      </c>
      <c r="I79" s="78"/>
      <c r="J79" s="2"/>
      <c r="K79" s="74">
        <f t="shared" si="5"/>
        <v>0.72460744341354699</v>
      </c>
      <c r="L79" s="73"/>
      <c r="M79" s="3">
        <f t="shared" si="6"/>
        <v>0.90880223204663491</v>
      </c>
      <c r="N79" s="3">
        <f t="shared" si="7"/>
        <v>0.16734976170803373</v>
      </c>
      <c r="O79" s="3">
        <f t="shared" si="8"/>
        <v>0.25442121642854598</v>
      </c>
      <c r="U79" s="2">
        <f t="shared" si="14"/>
        <v>-4.8243122865385129</v>
      </c>
      <c r="V79" s="2">
        <f t="shared" si="15"/>
        <v>-48.243122865385118</v>
      </c>
      <c r="AN79" s="1"/>
      <c r="AO79" s="1"/>
      <c r="AP79" s="1"/>
      <c r="AQ79" s="2"/>
      <c r="AS79" s="2"/>
      <c r="AT79" s="2"/>
      <c r="AW79" s="2"/>
    </row>
    <row r="80" spans="1:49" x14ac:dyDescent="0.35">
      <c r="A80" s="2">
        <f>A82+A83</f>
        <v>5.0782234595142226</v>
      </c>
      <c r="B80">
        <f t="shared" si="4"/>
        <v>2050</v>
      </c>
      <c r="C80" s="80">
        <f>'WAM Projections'!J63/1000</f>
        <v>0</v>
      </c>
      <c r="D80" s="80">
        <f>'WAM Projections'!D63/1000</f>
        <v>0.5195613861832552</v>
      </c>
      <c r="E80" s="80">
        <f>'WAM Projections'!E63/1000</f>
        <v>1.9163107394393294E-2</v>
      </c>
      <c r="F80" s="2">
        <f t="shared" si="17"/>
        <v>14.547718813131146</v>
      </c>
      <c r="G80" s="2">
        <f>G79</f>
        <v>5.0782234595142226</v>
      </c>
      <c r="H80" s="2">
        <f t="shared" si="13"/>
        <v>14.547718813131144</v>
      </c>
      <c r="I80" s="78"/>
      <c r="J80" s="2"/>
      <c r="K80" s="74">
        <f t="shared" si="5"/>
        <v>0.78711430116722569</v>
      </c>
      <c r="L80" s="73"/>
      <c r="M80" s="3">
        <f t="shared" si="6"/>
        <v>1</v>
      </c>
      <c r="N80" s="3">
        <f t="shared" si="7"/>
        <v>0.16734976170803373</v>
      </c>
      <c r="O80" s="3">
        <f t="shared" si="8"/>
        <v>0.25442121642854598</v>
      </c>
      <c r="P80" s="3">
        <f>M80</f>
        <v>1</v>
      </c>
      <c r="Q80" s="3">
        <f t="shared" ref="Q80:R80" si="18">N80</f>
        <v>0.16734976170803373</v>
      </c>
      <c r="R80" s="3">
        <f t="shared" si="18"/>
        <v>0.25442121642854598</v>
      </c>
      <c r="S80" s="3">
        <f>K80</f>
        <v>0.78711430116722569</v>
      </c>
      <c r="T80" s="3"/>
      <c r="U80" s="2">
        <f t="shared" si="14"/>
        <v>-5.0782234595142244</v>
      </c>
      <c r="V80" s="2">
        <f t="shared" si="15"/>
        <v>-53.321346324899345</v>
      </c>
      <c r="AM80" s="99"/>
      <c r="AN80" s="100"/>
      <c r="AO80" s="100"/>
      <c r="AP80" s="100"/>
      <c r="AQ80" s="101"/>
      <c r="AR80" s="99"/>
      <c r="AS80" s="101"/>
      <c r="AT80" s="101"/>
      <c r="AU80" s="99"/>
      <c r="AV80" s="99"/>
      <c r="AW80" s="2"/>
    </row>
    <row r="81" spans="1:49" x14ac:dyDescent="0.35">
      <c r="B81">
        <f t="shared" si="4"/>
        <v>2051</v>
      </c>
      <c r="C81" s="2">
        <v>0</v>
      </c>
      <c r="D81" s="1">
        <f t="shared" ref="D81:D90" si="19">D80*(1+I$1)</f>
        <v>0.5195613861832552</v>
      </c>
      <c r="E81" s="2">
        <f t="shared" ref="E81:E90" si="20">E80*(1+I$1)</f>
        <v>1.9163107394393294E-2</v>
      </c>
      <c r="F81" s="2">
        <f t="shared" si="17"/>
        <v>14.547718813131146</v>
      </c>
      <c r="G81" s="2">
        <f t="shared" ref="G81:G90" si="21">G80</f>
        <v>5.0782234595142226</v>
      </c>
      <c r="H81" s="2">
        <f t="shared" ref="H81:H90" si="22">SUM(F81:G81)+C81</f>
        <v>19.625942272645368</v>
      </c>
      <c r="I81" s="78"/>
      <c r="J81" s="2"/>
      <c r="K81" s="74">
        <f t="shared" si="5"/>
        <v>0.71280154025299469</v>
      </c>
      <c r="L81" s="73"/>
      <c r="M81" s="3">
        <f t="shared" si="6"/>
        <v>1</v>
      </c>
      <c r="N81" s="3">
        <f t="shared" si="7"/>
        <v>0.16734976170803373</v>
      </c>
      <c r="O81" s="3">
        <f t="shared" si="8"/>
        <v>0.25442121642854598</v>
      </c>
      <c r="U81" s="2">
        <f>U80</f>
        <v>-5.0782234595142244</v>
      </c>
      <c r="V81" s="2">
        <f t="shared" si="15"/>
        <v>-58.399569784413572</v>
      </c>
      <c r="AN81" s="1"/>
      <c r="AO81" s="1"/>
      <c r="AP81" s="1"/>
      <c r="AQ81" s="2"/>
      <c r="AS81" s="2"/>
      <c r="AT81" s="2"/>
      <c r="AW81" s="2"/>
    </row>
    <row r="82" spans="1:49" x14ac:dyDescent="0.35">
      <c r="A82">
        <f>IF(InputOutput!B6="Yes",F79,0)</f>
        <v>0</v>
      </c>
      <c r="B82">
        <f t="shared" si="4"/>
        <v>2052</v>
      </c>
      <c r="C82" s="2">
        <f>C81</f>
        <v>0</v>
      </c>
      <c r="D82" s="1">
        <f t="shared" si="19"/>
        <v>0.5195613861832552</v>
      </c>
      <c r="E82" s="2">
        <f t="shared" si="20"/>
        <v>1.9163107394393294E-2</v>
      </c>
      <c r="F82" s="2">
        <f t="shared" si="17"/>
        <v>14.547718813131146</v>
      </c>
      <c r="G82" s="2">
        <f t="shared" si="21"/>
        <v>5.0782234595142226</v>
      </c>
      <c r="H82" s="2">
        <f t="shared" si="22"/>
        <v>19.625942272645368</v>
      </c>
      <c r="I82" s="78"/>
      <c r="J82" s="2"/>
      <c r="K82" s="74">
        <f t="shared" si="5"/>
        <v>0.71280154025299469</v>
      </c>
      <c r="L82" s="73"/>
      <c r="M82" s="3">
        <f t="shared" si="6"/>
        <v>1</v>
      </c>
      <c r="N82" s="3">
        <f t="shared" si="7"/>
        <v>0.16734976170803373</v>
      </c>
      <c r="O82" s="3">
        <f t="shared" si="8"/>
        <v>0.25442121642854598</v>
      </c>
      <c r="U82" s="2">
        <f t="shared" ref="U82:U93" si="23">U81</f>
        <v>-5.0782234595142244</v>
      </c>
      <c r="V82" s="2">
        <f t="shared" si="15"/>
        <v>-63.477793243927799</v>
      </c>
      <c r="AN82" s="1"/>
      <c r="AO82" s="1"/>
      <c r="AP82" s="1"/>
      <c r="AQ82" s="2"/>
      <c r="AS82" s="2"/>
      <c r="AT82" s="2"/>
      <c r="AW82" s="2"/>
    </row>
    <row r="83" spans="1:49" x14ac:dyDescent="0.35">
      <c r="A83">
        <f>IF(InputOutput!B7="Yes",G80,0)</f>
        <v>5.0782234595142226</v>
      </c>
      <c r="B83">
        <f t="shared" si="4"/>
        <v>2053</v>
      </c>
      <c r="C83" s="2">
        <f t="shared" ref="C83:C90" si="24">C82</f>
        <v>0</v>
      </c>
      <c r="D83" s="1">
        <f t="shared" si="19"/>
        <v>0.5195613861832552</v>
      </c>
      <c r="E83" s="2">
        <f t="shared" si="20"/>
        <v>1.9163107394393294E-2</v>
      </c>
      <c r="F83" s="2">
        <f t="shared" si="17"/>
        <v>14.547718813131146</v>
      </c>
      <c r="G83" s="2">
        <f t="shared" si="21"/>
        <v>5.0782234595142226</v>
      </c>
      <c r="H83" s="2">
        <f t="shared" si="22"/>
        <v>19.625942272645368</v>
      </c>
      <c r="I83" s="78"/>
      <c r="J83" s="2"/>
      <c r="K83" s="74">
        <f t="shared" si="5"/>
        <v>0.71280154025299469</v>
      </c>
      <c r="L83" s="73"/>
      <c r="M83" s="3">
        <f t="shared" si="6"/>
        <v>1</v>
      </c>
      <c r="N83" s="3">
        <f t="shared" si="7"/>
        <v>0.16734976170803373</v>
      </c>
      <c r="O83" s="3">
        <f t="shared" si="8"/>
        <v>0.25442121642854598</v>
      </c>
      <c r="U83" s="2">
        <f t="shared" si="23"/>
        <v>-5.0782234595142244</v>
      </c>
      <c r="V83" s="2">
        <f t="shared" si="15"/>
        <v>-68.556016703442026</v>
      </c>
      <c r="AN83" s="1"/>
      <c r="AO83" s="1"/>
      <c r="AP83" s="1"/>
      <c r="AQ83" s="2"/>
      <c r="AS83" s="2"/>
      <c r="AT83" s="2"/>
      <c r="AW83" s="2"/>
    </row>
    <row r="84" spans="1:49" x14ac:dyDescent="0.35">
      <c r="B84">
        <f t="shared" si="4"/>
        <v>2054</v>
      </c>
      <c r="C84" s="2">
        <f t="shared" si="24"/>
        <v>0</v>
      </c>
      <c r="D84" s="1">
        <f t="shared" si="19"/>
        <v>0.5195613861832552</v>
      </c>
      <c r="E84" s="2">
        <f t="shared" si="20"/>
        <v>1.9163107394393294E-2</v>
      </c>
      <c r="F84" s="2">
        <f t="shared" si="17"/>
        <v>14.547718813131146</v>
      </c>
      <c r="G84" s="2">
        <f t="shared" si="21"/>
        <v>5.0782234595142226</v>
      </c>
      <c r="H84" s="2">
        <f t="shared" si="22"/>
        <v>19.625942272645368</v>
      </c>
      <c r="I84" s="78"/>
      <c r="J84" s="2"/>
      <c r="K84" s="74">
        <f t="shared" si="5"/>
        <v>0.71280154025299469</v>
      </c>
      <c r="L84" s="73"/>
      <c r="M84" s="3">
        <f t="shared" si="6"/>
        <v>1</v>
      </c>
      <c r="N84" s="3">
        <f t="shared" si="7"/>
        <v>0.16734976170803373</v>
      </c>
      <c r="O84" s="3">
        <f t="shared" si="8"/>
        <v>0.25442121642854598</v>
      </c>
      <c r="U84" s="2">
        <f t="shared" si="23"/>
        <v>-5.0782234595142244</v>
      </c>
      <c r="V84" s="2">
        <f t="shared" si="15"/>
        <v>-73.634240162956246</v>
      </c>
      <c r="AN84" s="1"/>
      <c r="AO84" s="1"/>
      <c r="AP84" s="1"/>
      <c r="AQ84" s="2"/>
      <c r="AS84" s="2"/>
      <c r="AT84" s="2"/>
      <c r="AW84" s="2"/>
    </row>
    <row r="85" spans="1:49" x14ac:dyDescent="0.35">
      <c r="B85">
        <f t="shared" si="4"/>
        <v>2055</v>
      </c>
      <c r="C85" s="2">
        <f t="shared" si="24"/>
        <v>0</v>
      </c>
      <c r="D85" s="1">
        <f t="shared" si="19"/>
        <v>0.5195613861832552</v>
      </c>
      <c r="E85" s="2">
        <f t="shared" si="20"/>
        <v>1.9163107394393294E-2</v>
      </c>
      <c r="F85" s="2">
        <f t="shared" si="17"/>
        <v>14.547718813131146</v>
      </c>
      <c r="G85" s="2">
        <f t="shared" si="21"/>
        <v>5.0782234595142226</v>
      </c>
      <c r="H85" s="2">
        <f t="shared" si="22"/>
        <v>19.625942272645368</v>
      </c>
      <c r="I85" s="78"/>
      <c r="J85" s="2"/>
      <c r="K85" s="74">
        <f t="shared" si="5"/>
        <v>0.71280154025299469</v>
      </c>
      <c r="L85" s="73"/>
      <c r="M85" s="3">
        <f t="shared" si="6"/>
        <v>1</v>
      </c>
      <c r="N85" s="3">
        <f t="shared" si="7"/>
        <v>0.16734976170803373</v>
      </c>
      <c r="O85" s="3">
        <f t="shared" si="8"/>
        <v>0.25442121642854598</v>
      </c>
      <c r="U85" s="2">
        <f t="shared" si="23"/>
        <v>-5.0782234595142244</v>
      </c>
      <c r="V85" s="2">
        <f t="shared" si="15"/>
        <v>-78.712463622470466</v>
      </c>
      <c r="AN85" s="1"/>
      <c r="AO85" s="1"/>
      <c r="AP85" s="1"/>
      <c r="AQ85" s="2"/>
      <c r="AS85" s="2"/>
      <c r="AT85" s="2"/>
      <c r="AW85" s="2"/>
    </row>
    <row r="86" spans="1:49" x14ac:dyDescent="0.35">
      <c r="B86">
        <f t="shared" ref="B86:B90" si="25">B85+1</f>
        <v>2056</v>
      </c>
      <c r="C86" s="2">
        <f t="shared" si="24"/>
        <v>0</v>
      </c>
      <c r="D86" s="1">
        <f t="shared" si="19"/>
        <v>0.5195613861832552</v>
      </c>
      <c r="E86" s="2">
        <f t="shared" si="20"/>
        <v>1.9163107394393294E-2</v>
      </c>
      <c r="F86" s="2">
        <f t="shared" si="17"/>
        <v>14.547718813131146</v>
      </c>
      <c r="G86" s="2">
        <f t="shared" si="21"/>
        <v>5.0782234595142226</v>
      </c>
      <c r="H86" s="2">
        <f t="shared" si="22"/>
        <v>19.625942272645368</v>
      </c>
      <c r="I86" s="78"/>
      <c r="J86" s="2"/>
      <c r="K86" s="74">
        <f t="shared" si="5"/>
        <v>0.71280154025299469</v>
      </c>
      <c r="L86" s="73"/>
      <c r="M86" s="3">
        <f t="shared" si="6"/>
        <v>1</v>
      </c>
      <c r="N86" s="3">
        <f t="shared" si="7"/>
        <v>0.16734976170803373</v>
      </c>
      <c r="O86" s="3">
        <f t="shared" si="8"/>
        <v>0.25442121642854598</v>
      </c>
      <c r="U86" s="2">
        <f t="shared" si="23"/>
        <v>-5.0782234595142244</v>
      </c>
      <c r="V86" s="2">
        <f t="shared" si="15"/>
        <v>-83.790687081984686</v>
      </c>
      <c r="AN86" s="1"/>
      <c r="AO86" s="1"/>
      <c r="AP86" s="1"/>
      <c r="AQ86" s="2"/>
      <c r="AS86" s="2"/>
      <c r="AT86" s="2"/>
      <c r="AW86" s="2"/>
    </row>
    <row r="87" spans="1:49" x14ac:dyDescent="0.35">
      <c r="B87">
        <f t="shared" si="25"/>
        <v>2057</v>
      </c>
      <c r="C87" s="2">
        <f t="shared" si="24"/>
        <v>0</v>
      </c>
      <c r="D87" s="1">
        <f t="shared" si="19"/>
        <v>0.5195613861832552</v>
      </c>
      <c r="E87" s="2">
        <f t="shared" si="20"/>
        <v>1.9163107394393294E-2</v>
      </c>
      <c r="F87" s="2">
        <f t="shared" si="17"/>
        <v>14.547718813131146</v>
      </c>
      <c r="G87" s="2">
        <f t="shared" si="21"/>
        <v>5.0782234595142226</v>
      </c>
      <c r="H87" s="2">
        <f t="shared" si="22"/>
        <v>19.625942272645368</v>
      </c>
      <c r="I87" s="78"/>
      <c r="J87" s="2"/>
      <c r="K87" s="74">
        <f t="shared" si="5"/>
        <v>0.71280154025299469</v>
      </c>
      <c r="L87" s="73"/>
      <c r="M87" s="3">
        <f t="shared" si="6"/>
        <v>1</v>
      </c>
      <c r="N87" s="3">
        <f t="shared" si="7"/>
        <v>0.16734976170803373</v>
      </c>
      <c r="O87" s="3">
        <f t="shared" si="8"/>
        <v>0.25442121642854598</v>
      </c>
      <c r="U87" s="2">
        <f t="shared" si="23"/>
        <v>-5.0782234595142244</v>
      </c>
      <c r="V87" s="2">
        <f t="shared" si="15"/>
        <v>-88.868910541498906</v>
      </c>
      <c r="AN87" s="1"/>
      <c r="AO87" s="1"/>
      <c r="AP87" s="1"/>
      <c r="AQ87" s="2"/>
      <c r="AS87" s="2"/>
      <c r="AT87" s="2"/>
      <c r="AW87" s="2"/>
    </row>
    <row r="88" spans="1:49" x14ac:dyDescent="0.35">
      <c r="B88">
        <f t="shared" si="25"/>
        <v>2058</v>
      </c>
      <c r="C88" s="2">
        <f t="shared" si="24"/>
        <v>0</v>
      </c>
      <c r="D88" s="1">
        <f t="shared" si="19"/>
        <v>0.5195613861832552</v>
      </c>
      <c r="E88" s="2">
        <f t="shared" si="20"/>
        <v>1.9163107394393294E-2</v>
      </c>
      <c r="F88" s="2">
        <f t="shared" si="17"/>
        <v>14.547718813131146</v>
      </c>
      <c r="G88" s="2">
        <f t="shared" si="21"/>
        <v>5.0782234595142226</v>
      </c>
      <c r="H88" s="2">
        <f t="shared" si="22"/>
        <v>19.625942272645368</v>
      </c>
      <c r="I88" s="78"/>
      <c r="J88" s="2"/>
      <c r="K88" s="74">
        <f t="shared" si="5"/>
        <v>0.71280154025299469</v>
      </c>
      <c r="L88" s="73"/>
      <c r="M88" s="3">
        <f t="shared" si="6"/>
        <v>1</v>
      </c>
      <c r="N88" s="3">
        <f t="shared" si="7"/>
        <v>0.16734976170803373</v>
      </c>
      <c r="O88" s="3">
        <f t="shared" si="8"/>
        <v>0.25442121642854598</v>
      </c>
      <c r="U88" s="2">
        <f t="shared" si="23"/>
        <v>-5.0782234595142244</v>
      </c>
      <c r="V88" s="2">
        <f t="shared" si="15"/>
        <v>-93.947134001013126</v>
      </c>
      <c r="AN88" s="1"/>
      <c r="AO88" s="1"/>
      <c r="AP88" s="1"/>
      <c r="AQ88" s="2"/>
      <c r="AS88" s="2"/>
      <c r="AT88" s="2"/>
      <c r="AW88" s="2"/>
    </row>
    <row r="89" spans="1:49" x14ac:dyDescent="0.35">
      <c r="B89">
        <f t="shared" si="25"/>
        <v>2059</v>
      </c>
      <c r="C89" s="2">
        <f t="shared" si="24"/>
        <v>0</v>
      </c>
      <c r="D89" s="1">
        <f t="shared" si="19"/>
        <v>0.5195613861832552</v>
      </c>
      <c r="E89" s="2">
        <f t="shared" si="20"/>
        <v>1.9163107394393294E-2</v>
      </c>
      <c r="F89" s="2">
        <f t="shared" si="17"/>
        <v>14.547718813131146</v>
      </c>
      <c r="G89" s="2">
        <f t="shared" si="21"/>
        <v>5.0782234595142226</v>
      </c>
      <c r="H89" s="2">
        <f t="shared" si="22"/>
        <v>19.625942272645368</v>
      </c>
      <c r="I89" s="78"/>
      <c r="J89" s="2"/>
      <c r="K89" s="74">
        <f t="shared" si="5"/>
        <v>0.71280154025299469</v>
      </c>
      <c r="L89" s="73"/>
      <c r="M89" s="3">
        <f t="shared" si="6"/>
        <v>1</v>
      </c>
      <c r="N89" s="3">
        <f t="shared" si="7"/>
        <v>0.16734976170803373</v>
      </c>
      <c r="O89" s="3">
        <f t="shared" si="8"/>
        <v>0.25442121642854598</v>
      </c>
      <c r="U89" s="2">
        <f t="shared" si="23"/>
        <v>-5.0782234595142244</v>
      </c>
      <c r="V89" s="2">
        <f t="shared" si="15"/>
        <v>-99.025357460527346</v>
      </c>
      <c r="AN89" s="1"/>
      <c r="AO89" s="1"/>
      <c r="AP89" s="1"/>
      <c r="AQ89" s="2"/>
      <c r="AS89" s="2"/>
      <c r="AT89" s="2"/>
      <c r="AW89" s="2"/>
    </row>
    <row r="90" spans="1:49" x14ac:dyDescent="0.35">
      <c r="B90">
        <f t="shared" si="25"/>
        <v>2060</v>
      </c>
      <c r="C90" s="2">
        <f t="shared" si="24"/>
        <v>0</v>
      </c>
      <c r="D90" s="1">
        <f t="shared" si="19"/>
        <v>0.5195613861832552</v>
      </c>
      <c r="E90" s="2">
        <f t="shared" si="20"/>
        <v>1.9163107394393294E-2</v>
      </c>
      <c r="F90" s="2">
        <f t="shared" si="17"/>
        <v>14.547718813131146</v>
      </c>
      <c r="G90" s="2">
        <f t="shared" si="21"/>
        <v>5.0782234595142226</v>
      </c>
      <c r="H90" s="2">
        <f t="shared" si="22"/>
        <v>19.625942272645368</v>
      </c>
      <c r="I90" s="78"/>
      <c r="J90" s="2"/>
      <c r="K90" s="74">
        <f t="shared" si="5"/>
        <v>0.71280154025299469</v>
      </c>
      <c r="L90" s="73"/>
      <c r="M90" s="3">
        <f t="shared" si="6"/>
        <v>1</v>
      </c>
      <c r="N90" s="3">
        <f t="shared" si="7"/>
        <v>0.16734976170803373</v>
      </c>
      <c r="O90" s="3">
        <f t="shared" si="8"/>
        <v>0.25442121642854598</v>
      </c>
      <c r="U90" s="2">
        <f t="shared" si="23"/>
        <v>-5.0782234595142244</v>
      </c>
      <c r="V90" s="2">
        <f t="shared" si="15"/>
        <v>-104.10358092004157</v>
      </c>
      <c r="AN90" s="1"/>
      <c r="AO90" s="1"/>
      <c r="AP90" s="1"/>
      <c r="AQ90" s="2"/>
      <c r="AS90" s="2"/>
      <c r="AT90" s="2"/>
      <c r="AW90" s="2"/>
    </row>
    <row r="91" spans="1:49" x14ac:dyDescent="0.35">
      <c r="C91" s="2"/>
      <c r="D91" s="1"/>
      <c r="E91" s="2"/>
      <c r="F91" s="2"/>
      <c r="G91" s="2"/>
      <c r="H91" s="2"/>
      <c r="I91" s="78"/>
      <c r="J91" s="2"/>
      <c r="K91" s="140"/>
      <c r="L91" s="140"/>
      <c r="M91" s="140"/>
      <c r="N91" s="140"/>
      <c r="O91" s="140"/>
      <c r="U91" s="2">
        <f t="shared" si="23"/>
        <v>-5.0782234595142244</v>
      </c>
      <c r="V91" s="2">
        <f t="shared" si="15"/>
        <v>-109.18180437955579</v>
      </c>
      <c r="AN91" s="1"/>
      <c r="AO91" s="1"/>
      <c r="AP91" s="1"/>
      <c r="AQ91" s="2"/>
      <c r="AS91" s="2"/>
      <c r="AT91" s="2"/>
      <c r="AW91" s="2"/>
    </row>
    <row r="92" spans="1:49" x14ac:dyDescent="0.35">
      <c r="C92" s="2"/>
      <c r="D92" s="1"/>
      <c r="E92" s="2"/>
      <c r="F92" s="2"/>
      <c r="G92" s="2"/>
      <c r="H92" s="2"/>
      <c r="I92" s="78"/>
      <c r="J92" s="2"/>
      <c r="K92" s="140"/>
      <c r="L92" s="140"/>
      <c r="M92" s="140"/>
      <c r="N92" s="140"/>
      <c r="O92" s="140"/>
      <c r="U92" s="2">
        <f t="shared" si="23"/>
        <v>-5.0782234595142244</v>
      </c>
      <c r="V92" s="2">
        <f t="shared" si="15"/>
        <v>-114.26002783907001</v>
      </c>
      <c r="AN92" s="1"/>
      <c r="AO92" s="1"/>
      <c r="AP92" s="1"/>
      <c r="AQ92" s="2"/>
      <c r="AS92" s="2"/>
      <c r="AT92" s="2"/>
      <c r="AW92" s="2"/>
    </row>
    <row r="93" spans="1:49" x14ac:dyDescent="0.35">
      <c r="C93" s="2"/>
      <c r="D93" s="1"/>
      <c r="E93" s="2"/>
      <c r="F93" s="2"/>
      <c r="G93" s="2"/>
      <c r="H93" s="2"/>
      <c r="I93" s="78"/>
      <c r="J93" s="2"/>
      <c r="K93" s="140"/>
      <c r="L93" s="140"/>
      <c r="M93" s="140"/>
      <c r="N93" s="140"/>
      <c r="O93" s="140"/>
      <c r="U93" s="2">
        <f t="shared" si="23"/>
        <v>-5.0782234595142244</v>
      </c>
      <c r="V93" s="2">
        <f t="shared" si="15"/>
        <v>-119.33825129858423</v>
      </c>
      <c r="AN93" s="1"/>
      <c r="AO93" s="1"/>
      <c r="AP93" s="1"/>
      <c r="AQ93" s="2"/>
      <c r="AS93" s="2"/>
      <c r="AT93" s="2"/>
    </row>
    <row r="94" spans="1:49" x14ac:dyDescent="0.35">
      <c r="C94" s="2"/>
      <c r="D94" s="1"/>
      <c r="E94" s="2"/>
      <c r="F94" s="2"/>
      <c r="G94" s="2"/>
      <c r="H94" s="2"/>
      <c r="I94" s="78"/>
      <c r="J94" s="2"/>
      <c r="K94" s="140"/>
      <c r="L94" s="140"/>
      <c r="M94" s="140"/>
      <c r="N94" s="140"/>
      <c r="O94" s="140"/>
      <c r="AN94" s="1"/>
      <c r="AO94" s="1"/>
      <c r="AP94" s="1"/>
      <c r="AQ94" s="2"/>
      <c r="AS94" s="2"/>
      <c r="AT94" s="2"/>
    </row>
    <row r="95" spans="1:49" x14ac:dyDescent="0.35">
      <c r="C95" s="2"/>
      <c r="D95" s="1"/>
      <c r="E95" s="2"/>
      <c r="F95" s="2"/>
      <c r="G95" s="2"/>
      <c r="H95" s="2"/>
      <c r="I95" s="78"/>
      <c r="J95" s="2"/>
      <c r="K95" s="140"/>
      <c r="L95" s="140"/>
      <c r="M95" s="140"/>
      <c r="N95" s="140"/>
      <c r="O95" s="140"/>
      <c r="AN95" s="1"/>
      <c r="AO95" s="1"/>
      <c r="AP95" s="1"/>
      <c r="AQ95" s="2"/>
      <c r="AS95" s="2"/>
      <c r="AT95" s="2"/>
    </row>
    <row r="96" spans="1:49" x14ac:dyDescent="0.35">
      <c r="C96" s="2"/>
      <c r="D96" s="1"/>
      <c r="E96" s="2"/>
      <c r="F96" s="2"/>
      <c r="G96" s="2"/>
      <c r="H96" s="2"/>
      <c r="I96" s="78"/>
      <c r="J96" s="2"/>
      <c r="K96" s="140"/>
      <c r="L96" s="140"/>
      <c r="M96" s="140"/>
      <c r="N96" s="140"/>
      <c r="O96" s="140"/>
      <c r="AN96" s="1"/>
      <c r="AO96" s="1"/>
      <c r="AP96" s="1"/>
      <c r="AQ96" s="2"/>
      <c r="AS96" s="2"/>
      <c r="AT96" s="2"/>
    </row>
    <row r="97" spans="3:46" x14ac:dyDescent="0.35">
      <c r="C97" s="2"/>
      <c r="D97" s="1"/>
      <c r="E97" s="2"/>
      <c r="F97" s="2"/>
      <c r="G97" s="2"/>
      <c r="H97" s="2"/>
      <c r="I97" s="78"/>
      <c r="J97" s="2"/>
      <c r="K97" s="140"/>
      <c r="L97" s="140"/>
      <c r="M97" s="140"/>
      <c r="N97" s="140"/>
      <c r="O97" s="140"/>
      <c r="AN97" s="1"/>
      <c r="AO97" s="1"/>
      <c r="AP97" s="1"/>
      <c r="AQ97" s="2"/>
      <c r="AS97" s="2"/>
      <c r="AT97" s="2"/>
    </row>
    <row r="98" spans="3:46" x14ac:dyDescent="0.35">
      <c r="C98" s="2"/>
      <c r="D98" s="1"/>
      <c r="E98" s="2"/>
      <c r="F98" s="2"/>
      <c r="G98" s="2"/>
      <c r="H98" s="2"/>
      <c r="I98" s="78"/>
      <c r="J98" s="2"/>
      <c r="K98" s="140"/>
      <c r="L98" s="140"/>
      <c r="M98" s="140"/>
      <c r="N98" s="140"/>
      <c r="O98" s="140"/>
      <c r="AN98" s="1"/>
      <c r="AO98" s="1"/>
      <c r="AP98" s="1"/>
      <c r="AQ98" s="2"/>
      <c r="AS98" s="2"/>
      <c r="AT98" s="2"/>
    </row>
    <row r="99" spans="3:46" x14ac:dyDescent="0.35">
      <c r="C99" s="2"/>
      <c r="D99" s="1"/>
      <c r="E99" s="2"/>
      <c r="F99" s="2"/>
      <c r="G99" s="2"/>
      <c r="H99" s="2"/>
      <c r="I99" s="78"/>
      <c r="J99" s="2"/>
      <c r="K99" s="140"/>
      <c r="L99" s="140"/>
      <c r="M99" s="140"/>
      <c r="N99" s="140"/>
      <c r="O99" s="140"/>
      <c r="AN99" s="1"/>
      <c r="AO99" s="1"/>
      <c r="AP99" s="1"/>
      <c r="AQ99" s="2"/>
      <c r="AS99" s="2"/>
      <c r="AT99" s="2"/>
    </row>
    <row r="100" spans="3:46" x14ac:dyDescent="0.35">
      <c r="C100" s="2"/>
      <c r="D100" s="1"/>
      <c r="E100" s="2"/>
      <c r="F100" s="2"/>
      <c r="G100" s="2"/>
      <c r="H100" s="2"/>
      <c r="I100" s="78"/>
      <c r="J100" s="2"/>
      <c r="K100" s="140"/>
      <c r="L100" s="140"/>
      <c r="M100" s="140"/>
      <c r="N100" s="140"/>
      <c r="O100" s="140"/>
      <c r="AN100" s="1"/>
      <c r="AO100" s="1"/>
      <c r="AP100" s="1"/>
      <c r="AQ100" s="2"/>
      <c r="AS100" s="2"/>
      <c r="AT100" s="2"/>
    </row>
    <row r="101" spans="3:46" x14ac:dyDescent="0.35">
      <c r="C101" s="2"/>
      <c r="D101" s="1"/>
      <c r="E101" s="2"/>
      <c r="F101" s="2"/>
      <c r="G101" s="2"/>
      <c r="H101" s="2"/>
      <c r="I101" s="78"/>
      <c r="J101" s="2"/>
      <c r="K101" s="140"/>
      <c r="L101" s="140"/>
      <c r="M101" s="140"/>
      <c r="N101" s="140"/>
      <c r="O101" s="140"/>
      <c r="AN101" s="1"/>
      <c r="AO101" s="1"/>
      <c r="AP101" s="1"/>
      <c r="AQ101" s="2"/>
      <c r="AS101" s="2"/>
      <c r="AT101" s="2"/>
    </row>
    <row r="102" spans="3:46" x14ac:dyDescent="0.35">
      <c r="C102" s="2"/>
      <c r="D102" s="1"/>
      <c r="E102" s="2"/>
      <c r="F102" s="2"/>
      <c r="G102" s="2"/>
      <c r="H102" s="2"/>
      <c r="I102" s="78"/>
      <c r="J102" s="2"/>
      <c r="K102" s="140"/>
      <c r="L102" s="140"/>
      <c r="M102" s="140"/>
      <c r="N102" s="140"/>
      <c r="O102" s="140"/>
      <c r="AN102" s="1"/>
      <c r="AO102" s="1"/>
      <c r="AP102" s="1"/>
      <c r="AQ102" s="2"/>
      <c r="AS102" s="2"/>
      <c r="AT102" s="2"/>
    </row>
    <row r="103" spans="3:46" x14ac:dyDescent="0.35">
      <c r="C103" s="2"/>
      <c r="D103" s="1"/>
      <c r="E103" s="2"/>
      <c r="F103" s="2"/>
      <c r="G103" s="2"/>
      <c r="H103" s="2"/>
      <c r="I103" s="78"/>
      <c r="J103" s="2"/>
      <c r="K103" s="140"/>
      <c r="L103" s="140"/>
      <c r="M103" s="140"/>
      <c r="N103" s="140"/>
      <c r="O103" s="140"/>
      <c r="AN103" s="1"/>
      <c r="AO103" s="1"/>
      <c r="AP103" s="1"/>
      <c r="AQ103" s="2"/>
      <c r="AS103" s="2"/>
      <c r="AT103" s="2"/>
    </row>
    <row r="104" spans="3:46" x14ac:dyDescent="0.35">
      <c r="C104" s="2"/>
      <c r="D104" s="1"/>
      <c r="E104" s="2"/>
      <c r="F104" s="2"/>
      <c r="G104" s="2"/>
      <c r="H104" s="2"/>
      <c r="I104" s="78"/>
      <c r="J104" s="2"/>
      <c r="K104" s="140"/>
      <c r="L104" s="140"/>
      <c r="M104" s="140"/>
      <c r="N104" s="140"/>
      <c r="O104" s="140"/>
      <c r="AN104" s="1"/>
      <c r="AO104" s="1"/>
      <c r="AP104" s="1"/>
      <c r="AQ104" s="2"/>
      <c r="AS104" s="2"/>
      <c r="AT104" s="2"/>
    </row>
    <row r="105" spans="3:46" x14ac:dyDescent="0.35">
      <c r="C105" s="2"/>
      <c r="D105" s="1"/>
      <c r="E105" s="2"/>
      <c r="F105" s="2"/>
      <c r="G105" s="2"/>
      <c r="H105" s="2"/>
      <c r="I105" s="78"/>
      <c r="J105" s="2"/>
      <c r="K105" s="140"/>
      <c r="L105" s="140"/>
      <c r="M105" s="140"/>
      <c r="N105" s="140"/>
      <c r="O105" s="140"/>
      <c r="AN105" s="1"/>
      <c r="AO105" s="1"/>
      <c r="AP105" s="1"/>
      <c r="AQ105" s="2"/>
      <c r="AS105" s="2"/>
      <c r="AT105" s="2"/>
    </row>
    <row r="106" spans="3:46" x14ac:dyDescent="0.35">
      <c r="C106" s="2"/>
      <c r="D106" s="1"/>
      <c r="E106" s="2"/>
      <c r="F106" s="2"/>
      <c r="G106" s="2"/>
      <c r="H106" s="2"/>
      <c r="I106" s="78"/>
      <c r="J106" s="2"/>
      <c r="K106" s="140"/>
      <c r="L106" s="140"/>
      <c r="M106" s="140"/>
      <c r="N106" s="140"/>
      <c r="O106" s="140"/>
      <c r="AN106" s="1"/>
      <c r="AO106" s="1"/>
      <c r="AP106" s="1"/>
      <c r="AQ106" s="2"/>
      <c r="AS106" s="2"/>
      <c r="AT106" s="2"/>
    </row>
    <row r="107" spans="3:46" x14ac:dyDescent="0.35">
      <c r="C107" s="2"/>
      <c r="D107" s="1"/>
      <c r="E107" s="2"/>
      <c r="F107" s="2"/>
      <c r="G107" s="2"/>
      <c r="H107" s="2"/>
      <c r="I107" s="78"/>
      <c r="J107" s="2"/>
      <c r="K107" s="140"/>
      <c r="L107" s="140"/>
      <c r="M107" s="140"/>
      <c r="N107" s="140"/>
      <c r="O107" s="140"/>
      <c r="AN107" s="1"/>
      <c r="AO107" s="1"/>
      <c r="AP107" s="1"/>
      <c r="AQ107" s="2"/>
      <c r="AS107" s="2"/>
      <c r="AT107" s="2"/>
    </row>
    <row r="108" spans="3:46" x14ac:dyDescent="0.35">
      <c r="C108" s="2"/>
      <c r="D108" s="1"/>
      <c r="E108" s="2"/>
      <c r="F108" s="2"/>
      <c r="G108" s="2"/>
      <c r="H108" s="2"/>
      <c r="I108" s="78"/>
      <c r="J108" s="2"/>
      <c r="K108" s="140"/>
      <c r="L108" s="140"/>
      <c r="M108" s="140"/>
      <c r="N108" s="140"/>
      <c r="O108" s="140"/>
      <c r="AN108" s="1"/>
      <c r="AO108" s="1"/>
      <c r="AP108" s="1"/>
      <c r="AQ108" s="2"/>
      <c r="AS108" s="2"/>
      <c r="AT108" s="2"/>
    </row>
    <row r="109" spans="3:46" x14ac:dyDescent="0.35">
      <c r="C109" s="2"/>
      <c r="D109" s="1"/>
      <c r="E109" s="2"/>
      <c r="F109" s="2"/>
      <c r="G109" s="2"/>
      <c r="H109" s="2"/>
      <c r="I109" s="78"/>
      <c r="J109" s="2"/>
      <c r="K109" s="140"/>
      <c r="L109" s="140"/>
      <c r="M109" s="140"/>
      <c r="N109" s="140"/>
      <c r="O109" s="140"/>
      <c r="AN109" s="1"/>
      <c r="AO109" s="1"/>
      <c r="AP109" s="1"/>
      <c r="AQ109" s="2"/>
      <c r="AS109" s="2"/>
      <c r="AT109" s="2"/>
    </row>
    <row r="110" spans="3:46" x14ac:dyDescent="0.35">
      <c r="C110" s="2"/>
      <c r="D110" s="1"/>
      <c r="E110" s="2"/>
      <c r="F110" s="2"/>
      <c r="G110" s="2"/>
      <c r="H110" s="2"/>
      <c r="I110" s="78"/>
      <c r="J110" s="2"/>
      <c r="K110" s="140"/>
      <c r="L110" s="140"/>
      <c r="M110" s="140"/>
      <c r="N110" s="140"/>
      <c r="O110" s="140"/>
      <c r="AN110" s="1"/>
      <c r="AO110" s="1"/>
      <c r="AP110" s="1"/>
      <c r="AQ110" s="2"/>
      <c r="AS110" s="2"/>
      <c r="AT110" s="2"/>
    </row>
    <row r="111" spans="3:46" x14ac:dyDescent="0.35">
      <c r="C111" s="2"/>
      <c r="D111" s="1"/>
      <c r="E111" s="2"/>
      <c r="F111" s="2"/>
      <c r="G111" s="2"/>
      <c r="H111" s="2"/>
      <c r="I111" s="78"/>
      <c r="J111" s="2"/>
      <c r="K111" s="140"/>
      <c r="L111" s="140"/>
      <c r="M111" s="140"/>
      <c r="N111" s="140"/>
      <c r="O111" s="140"/>
      <c r="AN111" s="1"/>
      <c r="AO111" s="1"/>
      <c r="AP111" s="1"/>
      <c r="AQ111" s="2"/>
      <c r="AS111" s="2"/>
      <c r="AT111" s="2"/>
    </row>
    <row r="112" spans="3:46" x14ac:dyDescent="0.35">
      <c r="C112" s="2"/>
      <c r="D112" s="1"/>
      <c r="E112" s="2"/>
      <c r="F112" s="2"/>
      <c r="G112" s="2"/>
      <c r="H112" s="2"/>
      <c r="I112" s="78"/>
      <c r="J112" s="2"/>
      <c r="K112" s="140"/>
      <c r="L112" s="140"/>
      <c r="M112" s="140"/>
      <c r="N112" s="140"/>
      <c r="O112" s="140"/>
      <c r="AN112" s="1"/>
      <c r="AO112" s="1"/>
      <c r="AP112" s="1"/>
      <c r="AQ112" s="2"/>
      <c r="AS112" s="2"/>
      <c r="AT112" s="2"/>
    </row>
    <row r="113" spans="3:46" x14ac:dyDescent="0.35">
      <c r="C113" s="2"/>
      <c r="D113" s="1"/>
      <c r="E113" s="2"/>
      <c r="F113" s="2"/>
      <c r="G113" s="2"/>
      <c r="H113" s="2"/>
      <c r="I113" s="78"/>
      <c r="J113" s="2"/>
      <c r="K113" s="140"/>
      <c r="L113" s="140"/>
      <c r="M113" s="140"/>
      <c r="N113" s="140"/>
      <c r="O113" s="140"/>
      <c r="AN113" s="1"/>
      <c r="AO113" s="1"/>
      <c r="AP113" s="1"/>
      <c r="AQ113" s="2"/>
      <c r="AS113" s="2"/>
      <c r="AT113" s="2"/>
    </row>
    <row r="114" spans="3:46" x14ac:dyDescent="0.35">
      <c r="C114" s="2"/>
      <c r="D114" s="1"/>
      <c r="E114" s="2"/>
      <c r="F114" s="2"/>
      <c r="G114" s="2"/>
      <c r="H114" s="2"/>
      <c r="I114" s="78"/>
      <c r="J114" s="2"/>
      <c r="K114" s="140"/>
      <c r="L114" s="140"/>
      <c r="M114" s="140"/>
      <c r="N114" s="140"/>
      <c r="O114" s="140"/>
      <c r="AN114" s="1"/>
      <c r="AO114" s="1"/>
      <c r="AP114" s="1"/>
      <c r="AQ114" s="2"/>
      <c r="AS114" s="2"/>
      <c r="AT114" s="2"/>
    </row>
    <row r="115" spans="3:46" x14ac:dyDescent="0.35">
      <c r="C115" s="2"/>
      <c r="D115" s="1"/>
      <c r="E115" s="2"/>
      <c r="F115" s="2"/>
      <c r="G115" s="2"/>
      <c r="H115" s="2"/>
      <c r="I115" s="78"/>
      <c r="J115" s="2"/>
      <c r="K115" s="140"/>
      <c r="L115" s="140"/>
      <c r="M115" s="140"/>
      <c r="N115" s="140"/>
      <c r="O115" s="140"/>
      <c r="AN115" s="1"/>
      <c r="AO115" s="1"/>
      <c r="AP115" s="1"/>
      <c r="AQ115" s="2"/>
      <c r="AS115" s="2"/>
      <c r="AT115" s="2"/>
    </row>
    <row r="116" spans="3:46" x14ac:dyDescent="0.35">
      <c r="C116" s="2"/>
      <c r="D116" s="1"/>
      <c r="E116" s="2"/>
      <c r="F116" s="2"/>
      <c r="G116" s="2"/>
      <c r="H116" s="2"/>
      <c r="I116" s="78"/>
      <c r="J116" s="2"/>
      <c r="K116" s="140"/>
      <c r="L116" s="140"/>
      <c r="M116" s="140"/>
      <c r="N116" s="140"/>
      <c r="O116" s="140"/>
      <c r="AN116" s="1"/>
      <c r="AO116" s="1"/>
      <c r="AP116" s="1"/>
      <c r="AQ116" s="2"/>
      <c r="AS116" s="2"/>
      <c r="AT116" s="2"/>
    </row>
    <row r="117" spans="3:46" x14ac:dyDescent="0.35">
      <c r="C117" s="2"/>
      <c r="D117" s="1"/>
      <c r="E117" s="2"/>
      <c r="F117" s="2"/>
      <c r="G117" s="2"/>
      <c r="H117" s="2"/>
      <c r="I117" s="78"/>
      <c r="J117" s="2"/>
      <c r="K117" s="140"/>
      <c r="L117" s="140"/>
      <c r="M117" s="140"/>
      <c r="N117" s="140"/>
      <c r="O117" s="140"/>
      <c r="AN117" s="1"/>
      <c r="AO117" s="1"/>
      <c r="AP117" s="1"/>
      <c r="AQ117" s="2"/>
      <c r="AS117" s="2"/>
      <c r="AT117" s="2"/>
    </row>
    <row r="118" spans="3:46" x14ac:dyDescent="0.35">
      <c r="C118" s="2"/>
      <c r="D118" s="1"/>
      <c r="E118" s="2"/>
      <c r="F118" s="2"/>
      <c r="G118" s="2"/>
      <c r="H118" s="2"/>
      <c r="I118" s="78"/>
      <c r="J118" s="2"/>
      <c r="K118" s="140"/>
      <c r="L118" s="140"/>
      <c r="M118" s="140"/>
      <c r="N118" s="140"/>
      <c r="O118" s="140"/>
      <c r="AN118" s="1"/>
      <c r="AO118" s="1"/>
      <c r="AP118" s="1"/>
      <c r="AQ118" s="2"/>
      <c r="AS118" s="2"/>
      <c r="AT118" s="2"/>
    </row>
    <row r="119" spans="3:46" x14ac:dyDescent="0.35">
      <c r="C119" s="2"/>
      <c r="D119" s="1"/>
      <c r="E119" s="2"/>
      <c r="F119" s="2"/>
      <c r="G119" s="2"/>
      <c r="H119" s="2"/>
      <c r="I119" s="78"/>
      <c r="J119" s="2"/>
      <c r="K119" s="140"/>
      <c r="L119" s="140"/>
      <c r="M119" s="140"/>
      <c r="N119" s="140"/>
      <c r="O119" s="140"/>
      <c r="AN119" s="1"/>
      <c r="AO119" s="1"/>
      <c r="AP119" s="1"/>
      <c r="AQ119" s="2"/>
      <c r="AS119" s="2"/>
      <c r="AT119" s="2"/>
    </row>
    <row r="120" spans="3:46" x14ac:dyDescent="0.35">
      <c r="C120" s="2"/>
      <c r="D120" s="1"/>
      <c r="E120" s="2"/>
      <c r="F120" s="2"/>
      <c r="G120" s="2"/>
      <c r="H120" s="2"/>
      <c r="I120" s="78"/>
      <c r="J120" s="2"/>
      <c r="K120" s="140"/>
      <c r="L120" s="140"/>
      <c r="M120" s="140"/>
      <c r="N120" s="140"/>
      <c r="O120" s="140"/>
      <c r="AN120" s="1"/>
      <c r="AO120" s="1"/>
      <c r="AP120" s="1"/>
      <c r="AQ120" s="2"/>
      <c r="AS120" s="2"/>
      <c r="AT120" s="2"/>
    </row>
    <row r="121" spans="3:46" x14ac:dyDescent="0.35">
      <c r="C121" s="2"/>
      <c r="D121" s="1"/>
      <c r="E121" s="2"/>
      <c r="F121" s="2"/>
      <c r="G121" s="2"/>
      <c r="H121" s="2"/>
      <c r="I121" s="78"/>
      <c r="J121" s="2"/>
      <c r="K121" s="140"/>
      <c r="L121" s="140"/>
      <c r="M121" s="140"/>
      <c r="N121" s="140"/>
      <c r="O121" s="140"/>
      <c r="AN121" s="1"/>
      <c r="AO121" s="1"/>
      <c r="AP121" s="1"/>
      <c r="AQ121" s="2"/>
      <c r="AS121" s="2"/>
      <c r="AT121" s="2"/>
    </row>
    <row r="122" spans="3:46" x14ac:dyDescent="0.35">
      <c r="C122" s="2"/>
      <c r="D122" s="1"/>
      <c r="E122" s="2"/>
      <c r="F122" s="2"/>
      <c r="G122" s="2"/>
      <c r="H122" s="2"/>
      <c r="I122" s="78"/>
      <c r="J122" s="2"/>
      <c r="K122" s="140"/>
      <c r="L122" s="140"/>
      <c r="M122" s="140"/>
      <c r="N122" s="140"/>
      <c r="O122" s="140"/>
      <c r="AN122" s="1"/>
      <c r="AO122" s="1"/>
      <c r="AP122" s="1"/>
      <c r="AQ122" s="2"/>
      <c r="AS122" s="2"/>
      <c r="AT122" s="2"/>
    </row>
    <row r="123" spans="3:46" x14ac:dyDescent="0.35">
      <c r="C123" s="2"/>
      <c r="D123" s="1"/>
      <c r="E123" s="2"/>
      <c r="F123" s="2"/>
      <c r="G123" s="2"/>
      <c r="H123" s="2"/>
      <c r="I123" s="78"/>
      <c r="J123" s="2"/>
      <c r="K123" s="140"/>
      <c r="L123" s="140"/>
      <c r="M123" s="140"/>
      <c r="N123" s="140"/>
      <c r="O123" s="140"/>
      <c r="AN123" s="1"/>
      <c r="AO123" s="1"/>
      <c r="AP123" s="1"/>
      <c r="AQ123" s="2"/>
      <c r="AS123" s="2"/>
      <c r="AT123" s="2"/>
    </row>
    <row r="124" spans="3:46" x14ac:dyDescent="0.35">
      <c r="C124" s="2"/>
      <c r="D124" s="1"/>
      <c r="E124" s="2"/>
      <c r="F124" s="2"/>
      <c r="G124" s="2"/>
      <c r="H124" s="2"/>
      <c r="I124" s="78"/>
      <c r="J124" s="2"/>
      <c r="K124" s="140"/>
      <c r="L124" s="140"/>
      <c r="M124" s="140"/>
      <c r="N124" s="140"/>
      <c r="O124" s="140"/>
      <c r="AN124" s="1"/>
      <c r="AO124" s="1"/>
      <c r="AP124" s="1"/>
      <c r="AQ124" s="2"/>
      <c r="AS124" s="2"/>
      <c r="AT124" s="2"/>
    </row>
    <row r="125" spans="3:46" x14ac:dyDescent="0.35">
      <c r="C125" s="2"/>
      <c r="D125" s="1"/>
      <c r="E125" s="2"/>
      <c r="F125" s="2"/>
      <c r="G125" s="2"/>
      <c r="H125" s="2"/>
      <c r="I125" s="78"/>
      <c r="J125" s="2"/>
      <c r="K125" s="140"/>
      <c r="L125" s="140"/>
      <c r="M125" s="140"/>
      <c r="N125" s="140"/>
      <c r="O125" s="140"/>
      <c r="AN125" s="1"/>
      <c r="AO125" s="1"/>
      <c r="AP125" s="1"/>
      <c r="AQ125" s="2"/>
      <c r="AS125" s="2"/>
      <c r="AT125" s="2"/>
    </row>
    <row r="126" spans="3:46" x14ac:dyDescent="0.35">
      <c r="C126" s="2"/>
      <c r="D126" s="1"/>
      <c r="E126" s="2"/>
      <c r="F126" s="2"/>
      <c r="G126" s="2"/>
      <c r="H126" s="2"/>
      <c r="I126" s="78"/>
      <c r="J126" s="2"/>
      <c r="K126" s="140"/>
      <c r="L126" s="140"/>
      <c r="M126" s="140"/>
      <c r="N126" s="140"/>
      <c r="O126" s="140"/>
      <c r="AN126" s="1"/>
      <c r="AO126" s="1"/>
      <c r="AP126" s="1"/>
      <c r="AQ126" s="2"/>
      <c r="AS126" s="2"/>
      <c r="AT126" s="2"/>
    </row>
    <row r="127" spans="3:46" x14ac:dyDescent="0.35">
      <c r="C127" s="2"/>
      <c r="D127" s="1"/>
      <c r="E127" s="2"/>
      <c r="F127" s="2"/>
      <c r="G127" s="2"/>
      <c r="H127" s="2"/>
      <c r="I127" s="78"/>
      <c r="J127" s="2"/>
      <c r="K127" s="140"/>
      <c r="L127" s="140"/>
      <c r="M127" s="140"/>
      <c r="N127" s="140"/>
      <c r="O127" s="140"/>
      <c r="AN127" s="1"/>
      <c r="AO127" s="1"/>
      <c r="AP127" s="1"/>
      <c r="AQ127" s="2"/>
      <c r="AS127" s="2"/>
      <c r="AT127" s="2"/>
    </row>
    <row r="128" spans="3:46" x14ac:dyDescent="0.35">
      <c r="C128" s="2"/>
      <c r="D128" s="1"/>
      <c r="E128" s="2"/>
      <c r="F128" s="2"/>
      <c r="G128" s="2"/>
      <c r="H128" s="2"/>
      <c r="I128" s="78"/>
      <c r="J128" s="2"/>
      <c r="K128" s="140"/>
      <c r="L128" s="140"/>
      <c r="M128" s="140"/>
      <c r="N128" s="140"/>
      <c r="O128" s="140"/>
      <c r="AN128" s="1"/>
      <c r="AO128" s="1"/>
      <c r="AP128" s="1"/>
      <c r="AQ128" s="2"/>
      <c r="AS128" s="2"/>
      <c r="AT128" s="2"/>
    </row>
    <row r="129" spans="3:46" x14ac:dyDescent="0.35">
      <c r="C129" s="2"/>
      <c r="D129" s="1"/>
      <c r="E129" s="2"/>
      <c r="F129" s="2"/>
      <c r="G129" s="2"/>
      <c r="H129" s="2"/>
      <c r="I129" s="78"/>
      <c r="J129" s="2"/>
      <c r="K129" s="140"/>
      <c r="L129" s="140"/>
      <c r="M129" s="140"/>
      <c r="N129" s="140"/>
      <c r="O129" s="140"/>
      <c r="AN129" s="1"/>
      <c r="AO129" s="1"/>
      <c r="AP129" s="1"/>
      <c r="AQ129" s="2"/>
      <c r="AS129" s="2"/>
      <c r="AT129" s="2"/>
    </row>
    <row r="130" spans="3:46" x14ac:dyDescent="0.35">
      <c r="C130" s="2"/>
      <c r="D130" s="1"/>
      <c r="E130" s="2"/>
      <c r="F130" s="2"/>
      <c r="G130" s="2"/>
      <c r="H130" s="2"/>
      <c r="I130" s="78"/>
      <c r="J130" s="2"/>
      <c r="K130" s="140"/>
      <c r="L130" s="140"/>
      <c r="M130" s="140"/>
      <c r="N130" s="140"/>
      <c r="O130" s="140"/>
      <c r="AN130" s="1"/>
      <c r="AO130" s="1"/>
      <c r="AP130" s="1"/>
      <c r="AQ130" s="2"/>
      <c r="AS130" s="2"/>
      <c r="AT130" s="2"/>
    </row>
    <row r="131" spans="3:46" x14ac:dyDescent="0.35">
      <c r="K131" s="134"/>
      <c r="L131" s="134"/>
      <c r="M131" s="134"/>
      <c r="N131" s="134"/>
      <c r="O131" s="13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AG131"/>
  <sheetViews>
    <sheetView topLeftCell="B88" zoomScale="80" zoomScaleNormal="80" workbookViewId="0">
      <selection activeCell="L122" sqref="L122"/>
    </sheetView>
  </sheetViews>
  <sheetFormatPr defaultRowHeight="14.5" x14ac:dyDescent="0.35"/>
  <cols>
    <col min="8" max="8" width="12.7265625" customWidth="1"/>
    <col min="9" max="9" width="10.54296875" customWidth="1"/>
    <col min="11" max="15" width="10.453125" customWidth="1"/>
    <col min="17" max="17" width="9.7265625" customWidth="1"/>
    <col min="20" max="20" width="12.7265625" customWidth="1"/>
    <col min="23" max="23" width="15" customWidth="1"/>
  </cols>
  <sheetData>
    <row r="1" spans="1:33" ht="58" x14ac:dyDescent="0.35">
      <c r="B1" s="75" t="s">
        <v>208</v>
      </c>
      <c r="C1" s="3">
        <f>InputOutput!B10</f>
        <v>0.51</v>
      </c>
      <c r="D1" s="3">
        <f>InputOutput!C10</f>
        <v>0.51</v>
      </c>
      <c r="E1" s="3">
        <f>InputOutput!D10</f>
        <v>0.51</v>
      </c>
      <c r="L1" t="s">
        <v>225</v>
      </c>
      <c r="M1">
        <f>4*M10</f>
        <v>100</v>
      </c>
      <c r="N1">
        <f>4*N10</f>
        <v>112</v>
      </c>
      <c r="Z1" s="3">
        <f>D1</f>
        <v>0.51</v>
      </c>
      <c r="AE1" s="3">
        <f>E1</f>
        <v>0.51</v>
      </c>
    </row>
    <row r="2" spans="1:33" x14ac:dyDescent="0.35">
      <c r="C2">
        <f>(C51-C5)/9</f>
        <v>1.984770012997167</v>
      </c>
      <c r="D2">
        <f>(D51-D5)/9</f>
        <v>3.4472586065583823E-2</v>
      </c>
      <c r="E2">
        <f>(E51-E5)/9</f>
        <v>1.3023950501268146E-3</v>
      </c>
      <c r="I2" s="76"/>
      <c r="L2" t="s">
        <v>224</v>
      </c>
      <c r="M2">
        <f>3.75*M10</f>
        <v>93.75</v>
      </c>
      <c r="N2">
        <f>3.75*N10</f>
        <v>105</v>
      </c>
      <c r="Z2">
        <f>(Z51-Z5)/9</f>
        <v>3.2498880758271724E-2</v>
      </c>
      <c r="AE2">
        <f>(AE51-AE5)/9</f>
        <v>1.2307645777563936E-3</v>
      </c>
    </row>
    <row r="3" spans="1:33" x14ac:dyDescent="0.35">
      <c r="C3">
        <f>C60/20</f>
        <v>1.0799507571190412</v>
      </c>
      <c r="D3" s="130">
        <f>'CH4 1990-2019'!D108/1000</f>
        <v>0.60557344778995981</v>
      </c>
      <c r="I3" s="76"/>
      <c r="Z3" s="130">
        <f>Z48</f>
        <v>0.60557344778995981</v>
      </c>
      <c r="AE3" s="130">
        <f>AE48</f>
        <v>2.434199193708618E-2</v>
      </c>
    </row>
    <row r="4" spans="1:33" x14ac:dyDescent="0.35">
      <c r="C4" s="3">
        <f>(1-C1)</f>
        <v>0.49</v>
      </c>
      <c r="D4" s="3">
        <f t="shared" ref="D4:E4" si="0">(1-D1)</f>
        <v>0.49</v>
      </c>
      <c r="E4" s="3">
        <f t="shared" si="0"/>
        <v>0.49</v>
      </c>
      <c r="I4" s="76"/>
      <c r="Z4" s="3">
        <f t="shared" ref="Z4" si="1">(1-Z1)</f>
        <v>0.49</v>
      </c>
      <c r="AE4" s="3">
        <f t="shared" ref="AE4" si="2">(1-AE1)</f>
        <v>0.49</v>
      </c>
    </row>
    <row r="5" spans="1:33" x14ac:dyDescent="0.35">
      <c r="A5" t="s">
        <v>0</v>
      </c>
      <c r="C5">
        <f>C48*C4</f>
        <v>21.586028783292278</v>
      </c>
      <c r="D5">
        <f>D3*D4</f>
        <v>0.29673098941708032</v>
      </c>
      <c r="E5">
        <f>E48*E4</f>
        <v>1.2566987253865196E-2</v>
      </c>
      <c r="F5">
        <f>N10</f>
        <v>28</v>
      </c>
      <c r="G5">
        <v>265</v>
      </c>
      <c r="I5" s="2"/>
      <c r="L5" t="s">
        <v>212</v>
      </c>
      <c r="M5">
        <v>0.75</v>
      </c>
      <c r="N5">
        <f>M5</f>
        <v>0.75</v>
      </c>
      <c r="Z5">
        <f>Z3*Z4</f>
        <v>0.29673098941708032</v>
      </c>
      <c r="AE5">
        <f>AE3*AE4</f>
        <v>1.1927576049172228E-2</v>
      </c>
    </row>
    <row r="6" spans="1:33" x14ac:dyDescent="0.35">
      <c r="B6" t="s">
        <v>1</v>
      </c>
      <c r="C6" t="s">
        <v>5</v>
      </c>
      <c r="D6" t="s">
        <v>5</v>
      </c>
      <c r="E6" t="s">
        <v>5</v>
      </c>
      <c r="F6" t="s">
        <v>7</v>
      </c>
      <c r="G6" t="s">
        <v>10</v>
      </c>
      <c r="L6" t="s">
        <v>213</v>
      </c>
      <c r="M6">
        <v>0.25</v>
      </c>
      <c r="N6">
        <f t="shared" ref="N6:N8" si="3">M6</f>
        <v>0.25</v>
      </c>
      <c r="Z6" s="88">
        <f>1-Z60/Z48</f>
        <v>0.5099999999999999</v>
      </c>
      <c r="AA6" s="88">
        <f>1-AA60/AA48</f>
        <v>0.50969877826891841</v>
      </c>
      <c r="AB6" s="88">
        <f>1-AB60/AB48</f>
        <v>0.50999128077625655</v>
      </c>
      <c r="AE6" s="88">
        <f>1-AE60/AE48</f>
        <v>0.51</v>
      </c>
      <c r="AF6" s="88">
        <f t="shared" ref="AF6:AG6" si="4">1-AF60/AF48</f>
        <v>0.50969877826891841</v>
      </c>
      <c r="AG6" s="88">
        <f t="shared" si="4"/>
        <v>0.50998467376897427</v>
      </c>
    </row>
    <row r="7" spans="1:33" ht="43.5" x14ac:dyDescent="0.35">
      <c r="B7" t="s">
        <v>1</v>
      </c>
      <c r="C7" t="s">
        <v>2</v>
      </c>
      <c r="D7" t="s">
        <v>3</v>
      </c>
      <c r="E7" t="s">
        <v>4</v>
      </c>
      <c r="F7" t="str">
        <f>D7</f>
        <v>CH4</v>
      </c>
      <c r="G7" t="str">
        <f>E7</f>
        <v>N2O</v>
      </c>
      <c r="H7" t="s">
        <v>8</v>
      </c>
      <c r="J7" s="75"/>
      <c r="K7" s="75" t="s">
        <v>207</v>
      </c>
      <c r="L7" t="s">
        <v>214</v>
      </c>
      <c r="M7">
        <v>100</v>
      </c>
      <c r="N7">
        <f t="shared" si="3"/>
        <v>100</v>
      </c>
      <c r="U7" t="s">
        <v>239</v>
      </c>
      <c r="V7" t="s">
        <v>238</v>
      </c>
    </row>
    <row r="8" spans="1:33" x14ac:dyDescent="0.35">
      <c r="C8" s="2"/>
      <c r="D8" s="1"/>
      <c r="E8" s="1"/>
      <c r="F8" s="2"/>
      <c r="G8" s="2"/>
      <c r="H8" s="2"/>
      <c r="L8" t="s">
        <v>218</v>
      </c>
      <c r="M8">
        <v>20</v>
      </c>
      <c r="N8">
        <f t="shared" si="3"/>
        <v>20</v>
      </c>
      <c r="X8" s="1"/>
    </row>
    <row r="9" spans="1:33" x14ac:dyDescent="0.35">
      <c r="C9" s="2"/>
      <c r="D9" s="1"/>
      <c r="E9" s="1"/>
      <c r="F9" s="2"/>
      <c r="G9" s="2"/>
      <c r="H9" s="2"/>
      <c r="M9" t="s">
        <v>216</v>
      </c>
      <c r="N9" s="76" t="s">
        <v>217</v>
      </c>
    </row>
    <row r="10" spans="1:33" x14ac:dyDescent="0.35">
      <c r="C10" s="2"/>
      <c r="D10" s="1"/>
      <c r="E10" s="1"/>
      <c r="F10" s="2"/>
      <c r="G10" s="2"/>
      <c r="H10" s="2"/>
      <c r="L10" t="s">
        <v>215</v>
      </c>
      <c r="M10">
        <v>25</v>
      </c>
      <c r="N10" s="76">
        <v>28</v>
      </c>
    </row>
    <row r="11" spans="1:33" x14ac:dyDescent="0.35">
      <c r="C11" s="2"/>
      <c r="D11" s="1"/>
      <c r="E11" s="1"/>
      <c r="F11" s="2"/>
      <c r="G11" s="2"/>
      <c r="H11" s="2"/>
      <c r="L11" t="s">
        <v>219</v>
      </c>
      <c r="M11">
        <f>M5*M7/M8</f>
        <v>3.75</v>
      </c>
      <c r="N11" s="76">
        <f>N5*N7/N8</f>
        <v>3.75</v>
      </c>
    </row>
    <row r="12" spans="1:33" x14ac:dyDescent="0.35">
      <c r="C12" s="2"/>
      <c r="D12" s="1"/>
      <c r="E12" s="1"/>
      <c r="F12" s="2"/>
      <c r="G12" s="2"/>
      <c r="H12" s="2"/>
      <c r="L12" t="s">
        <v>220</v>
      </c>
      <c r="M12" s="1">
        <f>D49</f>
        <v>0.60727248931136102</v>
      </c>
      <c r="N12" s="69">
        <f>M12</f>
        <v>0.60727248931136102</v>
      </c>
    </row>
    <row r="13" spans="1:33" x14ac:dyDescent="0.35">
      <c r="C13" s="2"/>
      <c r="D13" s="1"/>
      <c r="E13" s="1"/>
      <c r="F13" s="2"/>
      <c r="G13" s="2"/>
      <c r="H13" s="2"/>
      <c r="L13" t="s">
        <v>221</v>
      </c>
      <c r="M13" s="1">
        <f>D29</f>
        <v>0.60985790475145341</v>
      </c>
      <c r="N13" s="69">
        <f>M13</f>
        <v>0.60985790475145341</v>
      </c>
    </row>
    <row r="14" spans="1:33" x14ac:dyDescent="0.35">
      <c r="C14" s="2"/>
      <c r="D14" s="1"/>
      <c r="E14" s="1"/>
      <c r="F14" s="2"/>
      <c r="G14" s="2"/>
      <c r="H14" s="2"/>
      <c r="L14" s="76" t="s">
        <v>222</v>
      </c>
      <c r="M14" s="77">
        <f>(M11*(M12-M13)+M12*M6)*M10</f>
        <v>3.5530703606873453</v>
      </c>
      <c r="N14" s="77">
        <f>(N11*(N12-N13)+N12*N6)*N10</f>
        <v>3.9794388039698267</v>
      </c>
    </row>
    <row r="15" spans="1:33" x14ac:dyDescent="0.35">
      <c r="C15" s="2"/>
      <c r="D15" s="1"/>
      <c r="E15" s="1"/>
      <c r="F15" s="2"/>
      <c r="G15" s="2"/>
      <c r="H15" s="2"/>
      <c r="L15" s="76" t="s">
        <v>223</v>
      </c>
      <c r="M15" s="77">
        <f>M12*M1-M13*M2</f>
        <v>3.5530703606873431</v>
      </c>
      <c r="N15" s="77">
        <f>N12*N1-N13*N2</f>
        <v>3.9794388039698276</v>
      </c>
    </row>
    <row r="16" spans="1:33" x14ac:dyDescent="0.35">
      <c r="C16" s="2"/>
      <c r="D16" s="1"/>
      <c r="E16" s="1"/>
      <c r="F16" s="2"/>
      <c r="G16" s="2"/>
      <c r="H16" s="2"/>
    </row>
    <row r="17" spans="2:10" x14ac:dyDescent="0.35">
      <c r="C17" s="2"/>
      <c r="D17" s="1"/>
      <c r="E17" s="1"/>
      <c r="F17" s="2"/>
      <c r="G17" s="2"/>
      <c r="H17" s="2"/>
    </row>
    <row r="18" spans="2:10" x14ac:dyDescent="0.35">
      <c r="C18" s="2"/>
      <c r="D18" s="1"/>
      <c r="E18" s="1"/>
      <c r="F18" s="2"/>
      <c r="G18" s="2"/>
      <c r="H18" s="2"/>
    </row>
    <row r="19" spans="2:10" x14ac:dyDescent="0.35">
      <c r="C19" s="2"/>
      <c r="D19" s="1"/>
      <c r="E19" s="1"/>
      <c r="F19" s="2"/>
      <c r="G19" s="2"/>
      <c r="H19" s="2"/>
      <c r="I19" s="2"/>
      <c r="J19" s="2"/>
    </row>
    <row r="20" spans="2:10" x14ac:dyDescent="0.35">
      <c r="B20">
        <v>1990</v>
      </c>
      <c r="C20" s="68">
        <f>'CO2 1990-2019'!E80/1000</f>
        <v>37.503901917692637</v>
      </c>
      <c r="D20" s="69">
        <f>'CH4 1990-2019'!E80/1000</f>
        <v>0.56846617435307711</v>
      </c>
      <c r="E20" s="69">
        <f>'N2O 1990-2019'!E81/1000</f>
        <v>2.6227661646226468E-2</v>
      </c>
      <c r="F20" s="2">
        <f t="shared" ref="F20:G60" si="5">D20*F$5</f>
        <v>15.917052881886159</v>
      </c>
      <c r="G20" s="2">
        <f t="shared" si="5"/>
        <v>6.9503303362500137</v>
      </c>
      <c r="H20" s="2">
        <f t="shared" ref="H20:H60" si="6">SUM(F20:G20)+C20</f>
        <v>60.371285135828813</v>
      </c>
      <c r="I20" s="2"/>
      <c r="J20" s="2"/>
    </row>
    <row r="21" spans="2:10" x14ac:dyDescent="0.35">
      <c r="B21">
        <f>B20+1</f>
        <v>1991</v>
      </c>
      <c r="C21" s="68">
        <f>'CO2 1990-2019'!E81/1000</f>
        <v>38.099012193795097</v>
      </c>
      <c r="D21" s="69">
        <f>'CH4 1990-2019'!E81/1000</f>
        <v>0.57899497527056076</v>
      </c>
      <c r="E21" s="69">
        <f>'N2O 1990-2019'!E82/1000</f>
        <v>2.554114757699584E-2</v>
      </c>
      <c r="F21" s="2">
        <f t="shared" si="5"/>
        <v>16.2118593075757</v>
      </c>
      <c r="G21" s="2">
        <f t="shared" si="5"/>
        <v>6.7684041079038977</v>
      </c>
      <c r="H21" s="2">
        <f t="shared" si="6"/>
        <v>61.079275609274696</v>
      </c>
      <c r="I21" s="2"/>
      <c r="J21" s="2"/>
    </row>
    <row r="22" spans="2:10" x14ac:dyDescent="0.35">
      <c r="B22">
        <f t="shared" ref="B22:B85" si="7">B21+1</f>
        <v>1992</v>
      </c>
      <c r="C22" s="68">
        <f>'CO2 1990-2019'!E82/1000</f>
        <v>37.716183401651868</v>
      </c>
      <c r="D22" s="69">
        <f>'CH4 1990-2019'!E82/1000</f>
        <v>0.58638316837148285</v>
      </c>
      <c r="E22" s="69">
        <f>'N2O 1990-2019'!E83/1000</f>
        <v>2.5204417941327273E-2</v>
      </c>
      <c r="F22" s="2">
        <f t="shared" si="5"/>
        <v>16.418728714401521</v>
      </c>
      <c r="G22" s="2">
        <f t="shared" si="5"/>
        <v>6.6791707544517269</v>
      </c>
      <c r="H22" s="2">
        <f t="shared" si="6"/>
        <v>60.814082870505118</v>
      </c>
      <c r="I22" s="2"/>
      <c r="J22" s="2"/>
    </row>
    <row r="23" spans="2:10" x14ac:dyDescent="0.35">
      <c r="B23">
        <f t="shared" si="7"/>
        <v>1993</v>
      </c>
      <c r="C23" s="68">
        <f>'CO2 1990-2019'!E83/1000</f>
        <v>37.813894147276059</v>
      </c>
      <c r="D23" s="69">
        <f>'CH4 1990-2019'!E83/1000</f>
        <v>0.59483377727766906</v>
      </c>
      <c r="E23" s="69">
        <f>'N2O 1990-2019'!E84/1000</f>
        <v>2.5697521605793531E-2</v>
      </c>
      <c r="F23" s="2">
        <f t="shared" si="5"/>
        <v>16.655345763774733</v>
      </c>
      <c r="G23" s="2">
        <f t="shared" si="5"/>
        <v>6.8098432255352854</v>
      </c>
      <c r="H23" s="2">
        <f t="shared" si="6"/>
        <v>61.279083136586081</v>
      </c>
      <c r="I23" s="2"/>
      <c r="J23" s="2"/>
    </row>
    <row r="24" spans="2:10" x14ac:dyDescent="0.35">
      <c r="B24">
        <f t="shared" si="7"/>
        <v>1994</v>
      </c>
      <c r="C24" s="68">
        <f>'CO2 1990-2019'!E84/1000</f>
        <v>39.097461645272396</v>
      </c>
      <c r="D24" s="69">
        <f>'CH4 1990-2019'!E84/1000</f>
        <v>0.59526602098909942</v>
      </c>
      <c r="E24" s="69">
        <f>'N2O 1990-2019'!E85/1000</f>
        <v>2.6660195601452181E-2</v>
      </c>
      <c r="F24" s="2">
        <f t="shared" si="5"/>
        <v>16.667448587694786</v>
      </c>
      <c r="G24" s="2">
        <f t="shared" si="5"/>
        <v>7.0649518343848277</v>
      </c>
      <c r="H24" s="2">
        <f t="shared" si="6"/>
        <v>62.829862067352011</v>
      </c>
      <c r="I24" s="2"/>
      <c r="J24" s="2"/>
    </row>
    <row r="25" spans="2:10" x14ac:dyDescent="0.35">
      <c r="B25">
        <f t="shared" si="7"/>
        <v>1995</v>
      </c>
      <c r="C25" s="68">
        <f>'CO2 1990-2019'!E85/1000</f>
        <v>41.117756580617204</v>
      </c>
      <c r="D25" s="69">
        <f>'CH4 1990-2019'!E85/1000</f>
        <v>0.60059169683666336</v>
      </c>
      <c r="E25" s="69">
        <f>'N2O 1990-2019'!E86/1000</f>
        <v>2.7848538989904151E-2</v>
      </c>
      <c r="F25" s="2">
        <f t="shared" si="5"/>
        <v>16.816567511426573</v>
      </c>
      <c r="G25" s="2">
        <f t="shared" si="5"/>
        <v>7.3798628323245996</v>
      </c>
      <c r="H25" s="2">
        <f t="shared" si="6"/>
        <v>65.314186924368386</v>
      </c>
      <c r="I25" s="2"/>
      <c r="J25" s="2"/>
    </row>
    <row r="26" spans="2:10" x14ac:dyDescent="0.35">
      <c r="B26">
        <f t="shared" si="7"/>
        <v>1996</v>
      </c>
      <c r="C26" s="68">
        <f>'CO2 1990-2019'!E86/1000</f>
        <v>42.401848154429679</v>
      </c>
      <c r="D26" s="69">
        <f>'CH4 1990-2019'!E86/1000</f>
        <v>0.61511089079967096</v>
      </c>
      <c r="E26" s="69">
        <f>'N2O 1990-2019'!E87/1000</f>
        <v>2.8242940550096497E-2</v>
      </c>
      <c r="F26" s="2">
        <f t="shared" si="5"/>
        <v>17.223104942390787</v>
      </c>
      <c r="G26" s="2">
        <f t="shared" si="5"/>
        <v>7.484379245775572</v>
      </c>
      <c r="H26" s="2">
        <f t="shared" si="6"/>
        <v>67.109332342596034</v>
      </c>
      <c r="I26" s="2"/>
      <c r="J26" s="2"/>
    </row>
    <row r="27" spans="2:10" x14ac:dyDescent="0.35">
      <c r="B27">
        <f t="shared" si="7"/>
        <v>1997</v>
      </c>
      <c r="C27" s="68">
        <f>'CO2 1990-2019'!E87/1000</f>
        <v>43.245116683187582</v>
      </c>
      <c r="D27" s="69">
        <f>'CH4 1990-2019'!E87/1000</f>
        <v>0.61488733682276098</v>
      </c>
      <c r="E27" s="69">
        <f>'N2O 1990-2019'!E88/1000</f>
        <v>2.7991006485181408E-2</v>
      </c>
      <c r="F27" s="2">
        <f t="shared" si="5"/>
        <v>17.216845431037306</v>
      </c>
      <c r="G27" s="2">
        <f t="shared" si="5"/>
        <v>7.4176167185730728</v>
      </c>
      <c r="H27" s="2">
        <f t="shared" si="6"/>
        <v>67.879578832797961</v>
      </c>
      <c r="I27" s="2"/>
      <c r="J27" s="2"/>
    </row>
    <row r="28" spans="2:10" x14ac:dyDescent="0.35">
      <c r="B28">
        <f t="shared" si="7"/>
        <v>1998</v>
      </c>
      <c r="C28" s="68">
        <f>'CO2 1990-2019'!E88/1000</f>
        <v>44.87012369632712</v>
      </c>
      <c r="D28" s="69">
        <f>'CH4 1990-2019'!E88/1000</f>
        <v>0.62689098869315008</v>
      </c>
      <c r="E28" s="69">
        <f>'N2O 1990-2019'!E89/1000</f>
        <v>2.9429943506676829E-2</v>
      </c>
      <c r="F28" s="2">
        <f t="shared" si="5"/>
        <v>17.552947683408203</v>
      </c>
      <c r="G28" s="2">
        <f t="shared" si="5"/>
        <v>7.7989350292693596</v>
      </c>
      <c r="H28" s="2">
        <f t="shared" si="6"/>
        <v>70.222006409004678</v>
      </c>
      <c r="I28" s="2"/>
      <c r="J28" s="2"/>
    </row>
    <row r="29" spans="2:10" x14ac:dyDescent="0.35">
      <c r="B29">
        <f t="shared" si="7"/>
        <v>1999</v>
      </c>
      <c r="C29" s="68">
        <f>'CO2 1990-2019'!E89/1000</f>
        <v>46.906820617827236</v>
      </c>
      <c r="D29" s="69">
        <f>'CH4 1990-2019'!E89/1000</f>
        <v>0.60985790475145341</v>
      </c>
      <c r="E29" s="69">
        <f>'N2O 1990-2019'!E90/1000</f>
        <v>2.8645206014373741E-2</v>
      </c>
      <c r="F29" s="2">
        <f t="shared" si="5"/>
        <v>17.076021333040696</v>
      </c>
      <c r="G29" s="2">
        <f t="shared" si="5"/>
        <v>7.5909795938090419</v>
      </c>
      <c r="H29" s="2">
        <f t="shared" si="6"/>
        <v>71.573821544676974</v>
      </c>
      <c r="I29" s="2"/>
      <c r="J29" s="2"/>
    </row>
    <row r="30" spans="2:10" x14ac:dyDescent="0.35">
      <c r="B30">
        <f t="shared" si="7"/>
        <v>2000</v>
      </c>
      <c r="C30" s="68">
        <f>'CO2 1990-2019'!E90/1000</f>
        <v>51.264446064409647</v>
      </c>
      <c r="D30" s="69">
        <f>'CH4 1990-2019'!E90/1000</f>
        <v>0.59281659514673379</v>
      </c>
      <c r="E30" s="69">
        <f>'N2O 1990-2019'!E91/1000</f>
        <v>2.7713149439546961E-2</v>
      </c>
      <c r="F30" s="2">
        <f t="shared" si="5"/>
        <v>16.598864664108547</v>
      </c>
      <c r="G30" s="2">
        <f t="shared" si="5"/>
        <v>7.3439846014799448</v>
      </c>
      <c r="H30" s="2">
        <f t="shared" si="6"/>
        <v>75.207295329998146</v>
      </c>
      <c r="I30" s="2"/>
      <c r="J30" s="2"/>
    </row>
    <row r="31" spans="2:10" x14ac:dyDescent="0.35">
      <c r="B31">
        <f t="shared" si="7"/>
        <v>2001</v>
      </c>
      <c r="C31" s="68">
        <f>'CO2 1990-2019'!E91/1000</f>
        <v>54.663990010623849</v>
      </c>
      <c r="D31" s="69">
        <f>'CH4 1990-2019'!E91/1000</f>
        <v>0.60653930034350212</v>
      </c>
      <c r="E31" s="69">
        <f>'N2O 1990-2019'!E92/1000</f>
        <v>2.6361520111669961E-2</v>
      </c>
      <c r="F31" s="2">
        <f t="shared" si="5"/>
        <v>16.983100409618061</v>
      </c>
      <c r="G31" s="2">
        <f t="shared" si="5"/>
        <v>6.9858028295925401</v>
      </c>
      <c r="H31" s="2">
        <f t="shared" si="6"/>
        <v>78.632893249834453</v>
      </c>
      <c r="I31" s="2"/>
      <c r="J31" s="2"/>
    </row>
    <row r="32" spans="2:10" x14ac:dyDescent="0.35">
      <c r="B32">
        <f t="shared" si="7"/>
        <v>2002</v>
      </c>
      <c r="C32" s="68">
        <f>'CO2 1990-2019'!E92/1000</f>
        <v>53.050683185293025</v>
      </c>
      <c r="D32" s="69">
        <f>'CH4 1990-2019'!E92/1000</f>
        <v>0.59584131612224078</v>
      </c>
      <c r="E32" s="69">
        <f>'N2O 1990-2019'!E93/1000</f>
        <v>2.5205268301960501E-2</v>
      </c>
      <c r="F32" s="2">
        <f t="shared" si="5"/>
        <v>16.683556851422743</v>
      </c>
      <c r="G32" s="2">
        <f t="shared" si="5"/>
        <v>6.6793961000195328</v>
      </c>
      <c r="H32" s="2">
        <f t="shared" si="6"/>
        <v>76.413636136735306</v>
      </c>
      <c r="I32" s="2"/>
      <c r="J32" s="2"/>
    </row>
    <row r="33" spans="2:33" x14ac:dyDescent="0.35">
      <c r="B33">
        <f t="shared" si="7"/>
        <v>2003</v>
      </c>
      <c r="C33" s="68">
        <f>'CO2 1990-2019'!E93/1000</f>
        <v>52.911204011821269</v>
      </c>
      <c r="D33" s="69">
        <f>'CH4 1990-2019'!E93/1000</f>
        <v>0.6315771849487738</v>
      </c>
      <c r="E33" s="69">
        <f>'N2O 1990-2019'!E94/1000</f>
        <v>2.5051707160096713E-2</v>
      </c>
      <c r="F33" s="2">
        <f t="shared" si="5"/>
        <v>17.684161178565667</v>
      </c>
      <c r="G33" s="2">
        <f t="shared" si="5"/>
        <v>6.6387023974256287</v>
      </c>
      <c r="H33" s="2">
        <f t="shared" si="6"/>
        <v>77.234067587812561</v>
      </c>
      <c r="I33" s="2"/>
      <c r="J33" s="2"/>
    </row>
    <row r="34" spans="2:33" x14ac:dyDescent="0.35">
      <c r="B34">
        <f t="shared" si="7"/>
        <v>2004</v>
      </c>
      <c r="C34" s="68">
        <f>'CO2 1990-2019'!E94/1000</f>
        <v>51.897755100973896</v>
      </c>
      <c r="D34" s="69">
        <f>'CH4 1990-2019'!E94/1000</f>
        <v>0.58670195261344882</v>
      </c>
      <c r="E34" s="69">
        <f>'N2O 1990-2019'!E95/1000</f>
        <v>2.4462801837163501E-2</v>
      </c>
      <c r="F34" s="2">
        <f t="shared" si="5"/>
        <v>16.427654673176566</v>
      </c>
      <c r="G34" s="2">
        <f t="shared" si="5"/>
        <v>6.4826424868483281</v>
      </c>
      <c r="H34" s="2">
        <f t="shared" si="6"/>
        <v>74.808052260998792</v>
      </c>
      <c r="I34" s="2"/>
      <c r="J34" s="2"/>
    </row>
    <row r="35" spans="2:33" x14ac:dyDescent="0.35">
      <c r="B35">
        <f t="shared" si="7"/>
        <v>2005</v>
      </c>
      <c r="C35" s="68">
        <f>'CO2 1990-2019'!E95/1000</f>
        <v>54.59560870610084</v>
      </c>
      <c r="D35" s="69">
        <f>'CH4 1990-2019'!E95/1000</f>
        <v>0.57896199008081672</v>
      </c>
      <c r="E35" s="69">
        <f>'N2O 1990-2019'!E96/1000</f>
        <v>2.4090144176706841E-2</v>
      </c>
      <c r="F35" s="2">
        <f t="shared" si="5"/>
        <v>16.210935722262867</v>
      </c>
      <c r="G35" s="2">
        <f t="shared" si="5"/>
        <v>6.3838882068273133</v>
      </c>
      <c r="H35" s="2">
        <f t="shared" si="6"/>
        <v>77.19043263519103</v>
      </c>
      <c r="I35" s="2"/>
      <c r="J35" s="2"/>
    </row>
    <row r="36" spans="2:33" x14ac:dyDescent="0.35">
      <c r="B36">
        <f t="shared" si="7"/>
        <v>2006</v>
      </c>
      <c r="C36" s="68">
        <f>'CO2 1990-2019'!E96/1000</f>
        <v>54.461539202046147</v>
      </c>
      <c r="D36" s="69">
        <f>'CH4 1990-2019'!E96/1000</f>
        <v>0.58365900940295345</v>
      </c>
      <c r="E36" s="69">
        <f>'N2O 1990-2019'!E97/1000</f>
        <v>2.3416369558615369E-2</v>
      </c>
      <c r="F36" s="2">
        <f t="shared" si="5"/>
        <v>16.342452263282695</v>
      </c>
      <c r="G36" s="2">
        <f t="shared" si="5"/>
        <v>6.2053379330330731</v>
      </c>
      <c r="H36" s="2">
        <f t="shared" si="6"/>
        <v>77.009329398361913</v>
      </c>
      <c r="I36" s="2"/>
      <c r="J36" s="2"/>
    </row>
    <row r="37" spans="2:33" x14ac:dyDescent="0.35">
      <c r="B37">
        <f t="shared" si="7"/>
        <v>2007</v>
      </c>
      <c r="C37" s="68">
        <f>'CO2 1990-2019'!E97/1000</f>
        <v>53.746045769965306</v>
      </c>
      <c r="D37" s="69">
        <f>'CH4 1990-2019'!E97/1000</f>
        <v>0.54949163157015002</v>
      </c>
      <c r="E37" s="69">
        <f>'N2O 1990-2019'!E98/1000</f>
        <v>2.2587866931128592E-2</v>
      </c>
      <c r="F37" s="2">
        <f t="shared" si="5"/>
        <v>15.3857656839642</v>
      </c>
      <c r="G37" s="2">
        <f t="shared" si="5"/>
        <v>5.9857847367490766</v>
      </c>
      <c r="H37" s="2">
        <f t="shared" si="6"/>
        <v>75.117596190678583</v>
      </c>
      <c r="I37" s="2"/>
      <c r="J37" s="2"/>
    </row>
    <row r="38" spans="2:33" x14ac:dyDescent="0.35">
      <c r="B38">
        <f t="shared" si="7"/>
        <v>2008</v>
      </c>
      <c r="C38" s="68">
        <f>'CO2 1990-2019'!E98/1000</f>
        <v>52.68158170157681</v>
      </c>
      <c r="D38" s="69">
        <f>'CH4 1990-2019'!E98/1000</f>
        <v>0.54327868568762094</v>
      </c>
      <c r="E38" s="69">
        <f>'N2O 1990-2019'!E99/1000</f>
        <v>2.252824456889773E-2</v>
      </c>
      <c r="F38" s="2">
        <f t="shared" si="5"/>
        <v>15.211803199253387</v>
      </c>
      <c r="G38" s="2">
        <f t="shared" si="5"/>
        <v>5.9699848107578983</v>
      </c>
      <c r="H38" s="2">
        <f t="shared" si="6"/>
        <v>73.863369711588092</v>
      </c>
      <c r="I38" s="2"/>
      <c r="J38" s="2"/>
    </row>
    <row r="39" spans="2:33" x14ac:dyDescent="0.35">
      <c r="B39">
        <f t="shared" si="7"/>
        <v>2009</v>
      </c>
      <c r="C39" s="68">
        <f>'CO2 1990-2019'!E99/1000</f>
        <v>47.163320009204178</v>
      </c>
      <c r="D39" s="69">
        <f>'CH4 1990-2019'!E99/1000</f>
        <v>0.52849395261365861</v>
      </c>
      <c r="E39" s="69">
        <f>'N2O 1990-2019'!E100/1000</f>
        <v>2.1984221435495593E-2</v>
      </c>
      <c r="F39" s="2">
        <f t="shared" si="5"/>
        <v>14.797830673182441</v>
      </c>
      <c r="G39" s="2">
        <f t="shared" si="5"/>
        <v>5.8258186804063321</v>
      </c>
      <c r="H39" s="2">
        <f t="shared" si="6"/>
        <v>67.786969362792945</v>
      </c>
      <c r="I39" s="2"/>
      <c r="J39" s="2"/>
    </row>
    <row r="40" spans="2:33" x14ac:dyDescent="0.35">
      <c r="B40">
        <f t="shared" si="7"/>
        <v>2010</v>
      </c>
      <c r="C40" s="68">
        <f>'CO2 1990-2019'!E100/1000</f>
        <v>48.004538579802293</v>
      </c>
      <c r="D40" s="69">
        <f>'CH4 1990-2019'!E100/1000</f>
        <v>0.53088913019285489</v>
      </c>
      <c r="E40" s="69">
        <f>'N2O 1990-2019'!E101/1000</f>
        <v>2.3205006831574712E-2</v>
      </c>
      <c r="F40" s="2">
        <f t="shared" si="5"/>
        <v>14.864895645399937</v>
      </c>
      <c r="G40" s="2">
        <f t="shared" si="5"/>
        <v>6.1493268103672989</v>
      </c>
      <c r="H40" s="2">
        <f t="shared" si="6"/>
        <v>69.018761035569526</v>
      </c>
      <c r="I40" s="2"/>
      <c r="J40" s="2"/>
    </row>
    <row r="41" spans="2:33" x14ac:dyDescent="0.35">
      <c r="B41">
        <f t="shared" si="7"/>
        <v>2011</v>
      </c>
      <c r="C41" s="68">
        <f>'CO2 1990-2019'!E101/1000</f>
        <v>43.82620233701207</v>
      </c>
      <c r="D41" s="69">
        <f>'CH4 1990-2019'!E101/1000</f>
        <v>0.52067847685625956</v>
      </c>
      <c r="E41" s="69">
        <f>'N2O 1990-2019'!E102/1000</f>
        <v>2.1596923732384501E-2</v>
      </c>
      <c r="F41" s="2">
        <f t="shared" si="5"/>
        <v>14.578997351975268</v>
      </c>
      <c r="G41" s="2">
        <f t="shared" si="5"/>
        <v>5.723184789081893</v>
      </c>
      <c r="H41" s="2">
        <f t="shared" si="6"/>
        <v>64.128384478069222</v>
      </c>
      <c r="I41" s="2"/>
      <c r="J41" s="2"/>
    </row>
    <row r="42" spans="2:33" x14ac:dyDescent="0.35">
      <c r="B42">
        <f t="shared" si="7"/>
        <v>2012</v>
      </c>
      <c r="C42" s="68">
        <f>'CO2 1990-2019'!E102/1000</f>
        <v>43.046736237018365</v>
      </c>
      <c r="D42" s="69">
        <f>'CH4 1990-2019'!E102/1000</f>
        <v>0.54122860081163016</v>
      </c>
      <c r="E42" s="69">
        <f>'N2O 1990-2019'!E103/1000</f>
        <v>2.2350835962576289E-2</v>
      </c>
      <c r="F42" s="2">
        <f t="shared" si="5"/>
        <v>15.154400822725645</v>
      </c>
      <c r="G42" s="2">
        <f t="shared" si="5"/>
        <v>5.9229715300827168</v>
      </c>
      <c r="H42" s="2">
        <f t="shared" si="6"/>
        <v>64.124108589826733</v>
      </c>
      <c r="I42" s="2"/>
      <c r="J42" s="2"/>
      <c r="W42" s="82"/>
    </row>
    <row r="43" spans="2:33" x14ac:dyDescent="0.35">
      <c r="B43">
        <f t="shared" si="7"/>
        <v>2013</v>
      </c>
      <c r="C43" s="68">
        <f>'CO2 1990-2019'!E103/1000</f>
        <v>42.143034779693046</v>
      </c>
      <c r="D43" s="69">
        <f>'CH4 1990-2019'!E103/1000</f>
        <v>0.55563293823158555</v>
      </c>
      <c r="E43" s="69">
        <f>'N2O 1990-2019'!E104/1000</f>
        <v>2.3861676615019551E-2</v>
      </c>
      <c r="F43" s="2">
        <f t="shared" si="5"/>
        <v>15.557722270484396</v>
      </c>
      <c r="G43" s="2">
        <f t="shared" si="5"/>
        <v>6.323344302980181</v>
      </c>
      <c r="H43" s="2">
        <f t="shared" si="6"/>
        <v>64.024101353157619</v>
      </c>
      <c r="I43" s="2"/>
      <c r="J43" s="2"/>
    </row>
    <row r="44" spans="2:33" x14ac:dyDescent="0.35">
      <c r="B44">
        <f t="shared" si="7"/>
        <v>2014</v>
      </c>
      <c r="C44" s="68">
        <f>'CO2 1990-2019'!E104/1000</f>
        <v>43.002058721298987</v>
      </c>
      <c r="D44" s="69">
        <f>'CH4 1990-2019'!E104/1000</f>
        <v>0.56469371673730473</v>
      </c>
      <c r="E44" s="69">
        <f>'N2O 1990-2019'!E105/1000</f>
        <v>2.3087068532383508E-2</v>
      </c>
      <c r="F44" s="2">
        <f t="shared" si="5"/>
        <v>15.811424068644532</v>
      </c>
      <c r="G44" s="2">
        <f t="shared" si="5"/>
        <v>6.1180731610816297</v>
      </c>
      <c r="H44" s="2">
        <f t="shared" si="6"/>
        <v>64.931555951025146</v>
      </c>
      <c r="I44" s="2"/>
      <c r="J44" s="2"/>
    </row>
    <row r="45" spans="2:33" x14ac:dyDescent="0.35">
      <c r="B45">
        <f t="shared" si="7"/>
        <v>2015</v>
      </c>
      <c r="C45" s="68">
        <f>'CO2 1990-2019'!E105/1000</f>
        <v>44.636500221951238</v>
      </c>
      <c r="D45" s="69">
        <f>'CH4 1990-2019'!E105/1000</f>
        <v>0.57912274054536717</v>
      </c>
      <c r="E45" s="69">
        <f>'N2O 1990-2019'!E106/1000</f>
        <v>2.3139800195035771E-2</v>
      </c>
      <c r="F45" s="2">
        <f t="shared" si="5"/>
        <v>16.215436735270281</v>
      </c>
      <c r="G45" s="2">
        <f t="shared" si="5"/>
        <v>6.1320470516844789</v>
      </c>
      <c r="H45" s="2">
        <f t="shared" si="6"/>
        <v>66.983984008905992</v>
      </c>
      <c r="I45" s="2"/>
      <c r="J45" s="2"/>
    </row>
    <row r="46" spans="2:33" x14ac:dyDescent="0.35">
      <c r="B46">
        <f t="shared" si="7"/>
        <v>2016</v>
      </c>
      <c r="C46" s="68">
        <f>'CO2 1990-2019'!E106/1000</f>
        <v>45.653374656401347</v>
      </c>
      <c r="D46" s="69">
        <f>'CH4 1990-2019'!E106/1000</f>
        <v>0.59326897730059025</v>
      </c>
      <c r="E46" s="69">
        <f>'N2O 1990-2019'!E107/1000</f>
        <v>2.3402918953505311E-2</v>
      </c>
      <c r="F46" s="2">
        <f t="shared" si="5"/>
        <v>16.611531364416528</v>
      </c>
      <c r="G46" s="2">
        <f t="shared" si="5"/>
        <v>6.2017735226789075</v>
      </c>
      <c r="H46" s="2">
        <f t="shared" si="6"/>
        <v>68.466679543496781</v>
      </c>
      <c r="I46" s="2"/>
      <c r="J46" s="2"/>
    </row>
    <row r="47" spans="2:33" ht="43.5" x14ac:dyDescent="0.35">
      <c r="B47">
        <f t="shared" si="7"/>
        <v>2017</v>
      </c>
      <c r="C47" s="68">
        <f>'CO2 1990-2019'!E107/1000</f>
        <v>45.728105317317954</v>
      </c>
      <c r="D47" s="69">
        <f>'CH4 1990-2019'!E107/1000</f>
        <v>0.62003341514735055</v>
      </c>
      <c r="E47" s="69">
        <f>'N2O 1990-2019'!E108/1000</f>
        <v>2.4736923302581051E-2</v>
      </c>
      <c r="F47" s="2">
        <f t="shared" si="5"/>
        <v>17.360935624125815</v>
      </c>
      <c r="G47" s="2">
        <f t="shared" si="5"/>
        <v>6.5552846751839784</v>
      </c>
      <c r="H47" s="2">
        <f t="shared" si="6"/>
        <v>69.644325616627754</v>
      </c>
      <c r="I47" s="2"/>
      <c r="J47" s="2"/>
      <c r="K47" s="75" t="str">
        <f>K7</f>
        <v>% reduction GWP100</v>
      </c>
      <c r="L47" s="75"/>
      <c r="M47" s="75" t="s">
        <v>209</v>
      </c>
      <c r="N47" s="75" t="s">
        <v>210</v>
      </c>
      <c r="O47" s="75" t="s">
        <v>211</v>
      </c>
      <c r="Z47" t="s">
        <v>335</v>
      </c>
      <c r="AA47" t="s">
        <v>279</v>
      </c>
      <c r="AB47" t="s">
        <v>336</v>
      </c>
      <c r="AE47" t="s">
        <v>337</v>
      </c>
      <c r="AF47" t="s">
        <v>279</v>
      </c>
      <c r="AG47" t="s">
        <v>338</v>
      </c>
    </row>
    <row r="48" spans="2:33" x14ac:dyDescent="0.35">
      <c r="B48">
        <f t="shared" si="7"/>
        <v>2018</v>
      </c>
      <c r="C48" s="70">
        <f>TIM_Output!AG14/1000</f>
        <v>44.05311996590261</v>
      </c>
      <c r="D48" s="70">
        <f>AB48</f>
        <v>0.62362502085979499</v>
      </c>
      <c r="E48" s="71">
        <f>AG48</f>
        <v>2.5646912762990196E-2</v>
      </c>
      <c r="F48" s="70">
        <f t="shared" si="5"/>
        <v>17.461500584074258</v>
      </c>
      <c r="G48" s="70">
        <f t="shared" si="5"/>
        <v>6.7964318821924019</v>
      </c>
      <c r="H48" s="70">
        <f>SUM(F48:G48)+C48</f>
        <v>68.311052432169276</v>
      </c>
      <c r="I48" s="70"/>
      <c r="J48" s="70"/>
      <c r="K48" s="74">
        <f t="shared" ref="K48:K90" si="8">1-H48/H$48</f>
        <v>0</v>
      </c>
      <c r="L48" s="73"/>
      <c r="M48" s="3">
        <f t="shared" ref="M48:M90" si="9">1-C48/C$48</f>
        <v>0</v>
      </c>
      <c r="N48" s="3">
        <f t="shared" ref="N48:N90" si="10">1-D48/D$48</f>
        <v>0</v>
      </c>
      <c r="O48" s="3">
        <f t="shared" ref="O48:O90" si="11">1-E48/E$48</f>
        <v>0</v>
      </c>
      <c r="X48" s="134"/>
      <c r="Y48">
        <f t="shared" ref="Y48:Y60" si="12">B48</f>
        <v>2018</v>
      </c>
      <c r="Z48" s="130">
        <f>'CH4 1990-2019'!D108/1000</f>
        <v>0.60557344778995981</v>
      </c>
      <c r="AA48" s="130">
        <f>'LULUCF Models'!S2/1000</f>
        <v>1.8051573069835136E-2</v>
      </c>
      <c r="AB48" s="130">
        <f>SUM(Z48:AA48)</f>
        <v>0.62362502085979499</v>
      </c>
      <c r="AE48">
        <f>'N2O 1990-2019'!D109/1000</f>
        <v>2.434199193708618E-2</v>
      </c>
      <c r="AF48">
        <f>'LULUCF Models'!T2/1000</f>
        <v>1.3049208259040157E-3</v>
      </c>
      <c r="AG48">
        <f>SUM(AE48:AF48)</f>
        <v>2.5646912762990196E-2</v>
      </c>
    </row>
    <row r="49" spans="2:33" x14ac:dyDescent="0.35">
      <c r="B49">
        <f t="shared" si="7"/>
        <v>2019</v>
      </c>
      <c r="C49" s="69">
        <f>TIM_Output!AG15/1000</f>
        <v>42.847003375390081</v>
      </c>
      <c r="D49" s="80">
        <f t="shared" ref="D49:D60" si="13">AB49</f>
        <v>0.60727248931136102</v>
      </c>
      <c r="E49" s="80">
        <f t="shared" ref="E49:E60" si="14">AG49</f>
        <v>2.4309378074883786E-2</v>
      </c>
      <c r="F49" s="2">
        <f t="shared" si="5"/>
        <v>17.003629700718108</v>
      </c>
      <c r="G49" s="2">
        <f t="shared" si="5"/>
        <v>6.4419851898442033</v>
      </c>
      <c r="H49" s="2">
        <f>SUM(F49:G49)+C49</f>
        <v>66.292618265952399</v>
      </c>
      <c r="I49" s="2"/>
      <c r="J49" s="2"/>
      <c r="K49" s="74">
        <f t="shared" si="8"/>
        <v>2.9547695348730252E-2</v>
      </c>
      <c r="L49" s="73"/>
      <c r="M49" s="3">
        <f t="shared" si="9"/>
        <v>2.7378687172351701E-2</v>
      </c>
      <c r="N49" s="3">
        <f t="shared" si="10"/>
        <v>2.6221737424660496E-2</v>
      </c>
      <c r="O49" s="3">
        <f t="shared" si="11"/>
        <v>5.215187888175532E-2</v>
      </c>
      <c r="X49" s="134"/>
      <c r="Y49">
        <f t="shared" si="12"/>
        <v>2019</v>
      </c>
      <c r="Z49" s="130">
        <f>'CH4 1990-2019'!D109/1000</f>
        <v>0.58922091624152584</v>
      </c>
      <c r="AA49" s="130">
        <f>'LULUCF Models'!S3/1000</f>
        <v>1.8051573069835136E-2</v>
      </c>
      <c r="AB49" s="130">
        <f>SUM(Z49:AA49)</f>
        <v>0.60727248931136102</v>
      </c>
      <c r="AE49">
        <f>'N2O 1990-2019'!D110/1000</f>
        <v>2.300445724897977E-2</v>
      </c>
      <c r="AF49">
        <f>'LULUCF Models'!T3/1000</f>
        <v>1.3049208259040157E-3</v>
      </c>
      <c r="AG49">
        <f>SUM(AE49:AF49)</f>
        <v>2.4309378074883786E-2</v>
      </c>
    </row>
    <row r="50" spans="2:33" x14ac:dyDescent="0.35">
      <c r="B50">
        <f t="shared" si="7"/>
        <v>2020</v>
      </c>
      <c r="C50" s="80">
        <f>TIM_Output!AG16/1000</f>
        <v>37.397075829274357</v>
      </c>
      <c r="D50" s="80">
        <f t="shared" si="13"/>
        <v>0.60563517202162709</v>
      </c>
      <c r="E50" s="80">
        <f t="shared" si="14"/>
        <v>2.4191018892461238E-2</v>
      </c>
      <c r="F50" s="2">
        <f t="shared" si="5"/>
        <v>16.95778481660556</v>
      </c>
      <c r="G50" s="2">
        <f t="shared" si="5"/>
        <v>6.4106200065022279</v>
      </c>
      <c r="H50" s="2">
        <f t="shared" si="6"/>
        <v>60.765480652382145</v>
      </c>
      <c r="I50" s="2"/>
      <c r="J50" s="2"/>
      <c r="K50" s="74">
        <f t="shared" si="8"/>
        <v>0.11045901814028769</v>
      </c>
      <c r="L50" s="73"/>
      <c r="M50" s="3">
        <f t="shared" si="9"/>
        <v>0.15109132206254794</v>
      </c>
      <c r="N50" s="3">
        <f t="shared" si="10"/>
        <v>2.8847221064615458E-2</v>
      </c>
      <c r="O50" s="3">
        <f t="shared" si="11"/>
        <v>5.6766827414404752E-2</v>
      </c>
      <c r="P50" s="3">
        <f>M50</f>
        <v>0.15109132206254794</v>
      </c>
      <c r="Q50" s="3">
        <f t="shared" ref="Q50:R50" si="15">N50</f>
        <v>2.8847221064615458E-2</v>
      </c>
      <c r="R50" s="3">
        <f t="shared" si="15"/>
        <v>5.6766827414404752E-2</v>
      </c>
      <c r="S50" s="3">
        <f>K50</f>
        <v>0.11045901814028769</v>
      </c>
      <c r="T50" s="3"/>
      <c r="X50" s="134"/>
      <c r="Y50">
        <f t="shared" si="12"/>
        <v>2020</v>
      </c>
      <c r="Z50" s="130">
        <f>Z49</f>
        <v>0.58922091624152584</v>
      </c>
      <c r="AA50" s="130">
        <f>'LULUCF Models'!S4/1000</f>
        <v>1.6414255780101205E-2</v>
      </c>
      <c r="AB50" s="130">
        <f>SUM(Z50:AA50)</f>
        <v>0.60563517202162709</v>
      </c>
      <c r="AE50" s="130">
        <f>AE49</f>
        <v>2.300445724897977E-2</v>
      </c>
      <c r="AF50">
        <f>'LULUCF Models'!T4/1000</f>
        <v>1.1865616434814702E-3</v>
      </c>
      <c r="AG50">
        <f t="shared" ref="AG50:AG60" si="16">SUM(AE50:AF50)</f>
        <v>2.4191018892461238E-2</v>
      </c>
    </row>
    <row r="51" spans="2:33" x14ac:dyDescent="0.35">
      <c r="B51">
        <f t="shared" si="7"/>
        <v>2021</v>
      </c>
      <c r="C51" s="80">
        <f>TIM_Output!AG17/1000</f>
        <v>39.448958900266781</v>
      </c>
      <c r="D51" s="80">
        <f t="shared" si="13"/>
        <v>0.60698426400733474</v>
      </c>
      <c r="E51" s="80">
        <f t="shared" si="14"/>
        <v>2.4288542705006529E-2</v>
      </c>
      <c r="F51" s="2">
        <f t="shared" si="5"/>
        <v>16.995559392205372</v>
      </c>
      <c r="G51" s="2">
        <f t="shared" si="5"/>
        <v>6.4364638168267305</v>
      </c>
      <c r="H51" s="2">
        <f>SUM(F51:G51)+C51</f>
        <v>62.880982109298884</v>
      </c>
      <c r="I51" s="2"/>
      <c r="J51" s="2"/>
      <c r="K51" s="74">
        <f t="shared" si="8"/>
        <v>7.9490362533387704E-2</v>
      </c>
      <c r="L51" s="73"/>
      <c r="M51" s="3">
        <f t="shared" si="9"/>
        <v>0.10451384758217985</v>
      </c>
      <c r="N51" s="3">
        <f t="shared" si="10"/>
        <v>2.6683914685651233E-2</v>
      </c>
      <c r="O51" s="3">
        <f t="shared" si="11"/>
        <v>5.2964271783380701E-2</v>
      </c>
      <c r="X51" s="134"/>
      <c r="Y51">
        <f t="shared" si="12"/>
        <v>2021</v>
      </c>
      <c r="Z51" s="130">
        <f t="shared" ref="Z51" si="17">Z50</f>
        <v>0.58922091624152584</v>
      </c>
      <c r="AA51" s="130">
        <f>'LULUCF Models'!S5/1000</f>
        <v>1.7763347765808922E-2</v>
      </c>
      <c r="AB51" s="130">
        <f t="shared" ref="AB51:AB60" si="18">SUM(Z51:AA51)</f>
        <v>0.60698426400733474</v>
      </c>
      <c r="AE51" s="130">
        <f t="shared" ref="AE51" si="19">AE50</f>
        <v>2.300445724897977E-2</v>
      </c>
      <c r="AF51">
        <f>'LULUCF Models'!T5/1000</f>
        <v>1.2840854560267601E-3</v>
      </c>
      <c r="AG51">
        <f t="shared" si="16"/>
        <v>2.4288542705006529E-2</v>
      </c>
    </row>
    <row r="52" spans="2:33" x14ac:dyDescent="0.35">
      <c r="B52">
        <f t="shared" si="7"/>
        <v>2022</v>
      </c>
      <c r="C52" s="80">
        <f>TIM_Output!AG18/1000</f>
        <v>39.802372696624296</v>
      </c>
      <c r="D52" s="80">
        <f t="shared" si="13"/>
        <v>0.57389755741139381</v>
      </c>
      <c r="E52" s="80">
        <f t="shared" si="14"/>
        <v>2.3015285089407308E-2</v>
      </c>
      <c r="F52" s="2">
        <f t="shared" si="5"/>
        <v>16.069131607519026</v>
      </c>
      <c r="G52" s="2">
        <f t="shared" si="5"/>
        <v>6.0990505486929365</v>
      </c>
      <c r="H52" s="2">
        <f t="shared" si="6"/>
        <v>61.970554852836258</v>
      </c>
      <c r="I52" s="2"/>
      <c r="J52" s="2"/>
      <c r="K52" s="74">
        <f t="shared" si="8"/>
        <v>9.2818033884471851E-2</v>
      </c>
      <c r="L52" s="73"/>
      <c r="M52" s="3">
        <f t="shared" si="9"/>
        <v>9.6491401121382991E-2</v>
      </c>
      <c r="N52" s="3">
        <f t="shared" si="10"/>
        <v>7.9739365460099187E-2</v>
      </c>
      <c r="O52" s="3">
        <f t="shared" si="11"/>
        <v>0.1026099202622337</v>
      </c>
      <c r="X52" s="134"/>
      <c r="Y52">
        <f t="shared" si="12"/>
        <v>2022</v>
      </c>
      <c r="Z52" s="97">
        <f>Z51-Z$2</f>
        <v>0.55672203548325416</v>
      </c>
      <c r="AA52" s="130">
        <f>'LULUCF Models'!S6/1000</f>
        <v>1.7175521928139651E-2</v>
      </c>
      <c r="AB52" s="130">
        <f t="shared" si="18"/>
        <v>0.57389755741139381</v>
      </c>
      <c r="AE52" s="97">
        <f>AE51-AE$2</f>
        <v>2.1773692671223376E-2</v>
      </c>
      <c r="AF52">
        <f>'LULUCF Models'!T6/1000</f>
        <v>1.2415924181839303E-3</v>
      </c>
      <c r="AG52">
        <f t="shared" si="16"/>
        <v>2.3015285089407308E-2</v>
      </c>
    </row>
    <row r="53" spans="2:33" x14ac:dyDescent="0.35">
      <c r="B53">
        <f t="shared" si="7"/>
        <v>2023</v>
      </c>
      <c r="C53" s="80">
        <f>TIM_Output!AG19/1000</f>
        <v>40.485152302519481</v>
      </c>
      <c r="D53" s="80">
        <f t="shared" si="13"/>
        <v>0.54676744452183101</v>
      </c>
      <c r="E53" s="80">
        <f t="shared" si="14"/>
        <v>2.2172620594353928E-2</v>
      </c>
      <c r="F53" s="2">
        <f t="shared" si="5"/>
        <v>15.309488446611269</v>
      </c>
      <c r="G53" s="2">
        <f t="shared" si="5"/>
        <v>5.8757444575037905</v>
      </c>
      <c r="H53" s="2">
        <f t="shared" si="6"/>
        <v>61.670385206634542</v>
      </c>
      <c r="I53" s="2"/>
      <c r="J53" s="2"/>
      <c r="K53" s="74">
        <f t="shared" si="8"/>
        <v>9.7212193182482531E-2</v>
      </c>
      <c r="L53" s="73"/>
      <c r="M53" s="3">
        <f t="shared" si="9"/>
        <v>8.0992394321781513E-2</v>
      </c>
      <c r="N53" s="3">
        <f t="shared" si="10"/>
        <v>0.12324325318442164</v>
      </c>
      <c r="O53" s="3">
        <f t="shared" si="11"/>
        <v>0.13546629182011527</v>
      </c>
      <c r="X53" s="134"/>
      <c r="Y53">
        <f t="shared" si="12"/>
        <v>2023</v>
      </c>
      <c r="Z53" s="97">
        <f t="shared" ref="Z53:Z60" si="20">Z52-Z$2</f>
        <v>0.52422315472498249</v>
      </c>
      <c r="AA53" s="130">
        <f>'LULUCF Models'!S7/1000</f>
        <v>2.2544289796848513E-2</v>
      </c>
      <c r="AB53" s="130">
        <f t="shared" si="18"/>
        <v>0.54676744452183101</v>
      </c>
      <c r="AE53" s="97">
        <f t="shared" ref="AE53:AE60" si="21">AE52-AE$2</f>
        <v>2.0542928093466983E-2</v>
      </c>
      <c r="AF53">
        <f>'LULUCF Models'!T7/1000</f>
        <v>1.6296925008869442E-3</v>
      </c>
      <c r="AG53">
        <f t="shared" si="16"/>
        <v>2.2172620594353928E-2</v>
      </c>
    </row>
    <row r="54" spans="2:33" x14ac:dyDescent="0.35">
      <c r="B54">
        <f t="shared" si="7"/>
        <v>2024</v>
      </c>
      <c r="C54" s="80">
        <f>TIM_Output!AG20/1000</f>
        <v>36.482080662790658</v>
      </c>
      <c r="D54" s="80">
        <f t="shared" si="13"/>
        <v>0.50910422960466262</v>
      </c>
      <c r="E54" s="80">
        <f t="shared" si="14"/>
        <v>2.0568534136570747E-2</v>
      </c>
      <c r="F54" s="2">
        <f t="shared" si="5"/>
        <v>14.254918428930553</v>
      </c>
      <c r="G54" s="2">
        <f t="shared" si="5"/>
        <v>5.450661546191248</v>
      </c>
      <c r="H54" s="2">
        <f t="shared" si="6"/>
        <v>56.187660637912458</v>
      </c>
      <c r="I54" s="2"/>
      <c r="J54" s="2"/>
      <c r="K54" s="74">
        <f t="shared" si="8"/>
        <v>0.17747335698414202</v>
      </c>
      <c r="L54" s="73"/>
      <c r="M54" s="3">
        <f t="shared" si="9"/>
        <v>0.17186159139175572</v>
      </c>
      <c r="N54" s="3">
        <f t="shared" si="10"/>
        <v>0.1836372618552764</v>
      </c>
      <c r="O54" s="3">
        <f t="shared" si="11"/>
        <v>0.19801130347929474</v>
      </c>
      <c r="X54" s="134"/>
      <c r="Y54">
        <f t="shared" si="12"/>
        <v>2024</v>
      </c>
      <c r="Z54" s="97">
        <f t="shared" si="20"/>
        <v>0.49172427396671076</v>
      </c>
      <c r="AA54" s="130">
        <f>'LULUCF Models'!S8/1000</f>
        <v>1.7379955637951871E-2</v>
      </c>
      <c r="AB54" s="130">
        <f t="shared" si="18"/>
        <v>0.50910422960466262</v>
      </c>
      <c r="AE54" s="97">
        <f t="shared" si="21"/>
        <v>1.9312163515710589E-2</v>
      </c>
      <c r="AF54">
        <f>'LULUCF Models'!T8/1000</f>
        <v>1.2563706208601594E-3</v>
      </c>
      <c r="AG54">
        <f t="shared" si="16"/>
        <v>2.0568534136570747E-2</v>
      </c>
    </row>
    <row r="55" spans="2:33" x14ac:dyDescent="0.35">
      <c r="B55">
        <f t="shared" si="7"/>
        <v>2025</v>
      </c>
      <c r="C55" s="80">
        <f>TIM_Output!AG21/1000</f>
        <v>33.659201203648905</v>
      </c>
      <c r="D55" s="80">
        <f t="shared" si="13"/>
        <v>0.47579004258070851</v>
      </c>
      <c r="E55" s="80">
        <f t="shared" si="14"/>
        <v>1.9278832306007465E-2</v>
      </c>
      <c r="F55" s="2">
        <f t="shared" si="5"/>
        <v>13.322121192259837</v>
      </c>
      <c r="G55" s="2">
        <f t="shared" si="5"/>
        <v>5.1088905610919779</v>
      </c>
      <c r="H55" s="2">
        <f t="shared" si="6"/>
        <v>52.090212957000716</v>
      </c>
      <c r="I55" s="2"/>
      <c r="J55" s="2"/>
      <c r="K55" s="74">
        <f t="shared" si="8"/>
        <v>0.23745556388953815</v>
      </c>
      <c r="L55" s="73"/>
      <c r="M55" s="3">
        <f t="shared" si="9"/>
        <v>0.2359405819678303</v>
      </c>
      <c r="N55" s="3">
        <f t="shared" si="10"/>
        <v>0.2370574837989432</v>
      </c>
      <c r="O55" s="3">
        <f t="shared" si="11"/>
        <v>0.24829812912890614</v>
      </c>
      <c r="P55" s="3">
        <f>M55</f>
        <v>0.2359405819678303</v>
      </c>
      <c r="Q55" s="3">
        <f t="shared" ref="Q55:R55" si="22">N55</f>
        <v>0.2370574837989432</v>
      </c>
      <c r="R55" s="3">
        <f t="shared" si="22"/>
        <v>0.24829812912890614</v>
      </c>
      <c r="S55" s="3">
        <f>K55</f>
        <v>0.23745556388953815</v>
      </c>
      <c r="T55" s="3"/>
      <c r="X55" s="134"/>
      <c r="Y55">
        <f t="shared" si="12"/>
        <v>2025</v>
      </c>
      <c r="Z55" s="97">
        <f t="shared" si="20"/>
        <v>0.45922539320843903</v>
      </c>
      <c r="AA55" s="130">
        <f>'LULUCF Models'!S9/1000</f>
        <v>1.6564649372269504E-2</v>
      </c>
      <c r="AB55" s="130">
        <f t="shared" si="18"/>
        <v>0.47579004258070851</v>
      </c>
      <c r="AE55" s="97">
        <f t="shared" si="21"/>
        <v>1.8081398937954195E-2</v>
      </c>
      <c r="AF55">
        <f>'LULUCF Models'!T9/1000</f>
        <v>1.1974333680532679E-3</v>
      </c>
      <c r="AG55">
        <f t="shared" si="16"/>
        <v>1.9278832306007465E-2</v>
      </c>
    </row>
    <row r="56" spans="2:33" x14ac:dyDescent="0.35">
      <c r="B56">
        <f t="shared" si="7"/>
        <v>2026</v>
      </c>
      <c r="C56" s="80">
        <f>TIM_Output!AG22/1000</f>
        <v>30.1106827916946</v>
      </c>
      <c r="D56" s="80">
        <f t="shared" si="13"/>
        <v>0.43818460550961169</v>
      </c>
      <c r="E56" s="80">
        <f t="shared" si="14"/>
        <v>1.7678922521045151E-2</v>
      </c>
      <c r="F56" s="2">
        <f t="shared" si="5"/>
        <v>12.269168954269126</v>
      </c>
      <c r="G56" s="2">
        <f t="shared" si="5"/>
        <v>4.6849144680769648</v>
      </c>
      <c r="H56" s="2">
        <f t="shared" si="6"/>
        <v>47.064766214040688</v>
      </c>
      <c r="I56" s="2"/>
      <c r="J56" s="2"/>
      <c r="K56" s="74">
        <f t="shared" si="8"/>
        <v>0.31102267439409581</v>
      </c>
      <c r="L56" s="73"/>
      <c r="M56" s="3">
        <f t="shared" si="9"/>
        <v>0.31649148085310519</v>
      </c>
      <c r="N56" s="3">
        <f t="shared" si="10"/>
        <v>0.29735884409274604</v>
      </c>
      <c r="O56" s="3">
        <f t="shared" si="11"/>
        <v>0.31068028793872071</v>
      </c>
      <c r="P56" s="3"/>
      <c r="Q56" s="3"/>
      <c r="R56" s="3"/>
      <c r="X56" s="134"/>
      <c r="Y56">
        <f t="shared" si="12"/>
        <v>2026</v>
      </c>
      <c r="Z56" s="97">
        <f t="shared" si="20"/>
        <v>0.42672651245016729</v>
      </c>
      <c r="AA56" s="130">
        <f>'LULUCF Models'!S10/1000</f>
        <v>1.1458093059444422E-2</v>
      </c>
      <c r="AB56" s="130">
        <f t="shared" si="18"/>
        <v>0.43818460550961169</v>
      </c>
      <c r="AE56" s="97">
        <f t="shared" si="21"/>
        <v>1.6850634360197802E-2</v>
      </c>
      <c r="AF56">
        <f>'LULUCF Models'!T10/1000</f>
        <v>8.2828816084734938E-4</v>
      </c>
      <c r="AG56">
        <f t="shared" si="16"/>
        <v>1.7678922521045151E-2</v>
      </c>
    </row>
    <row r="57" spans="2:33" x14ac:dyDescent="0.35">
      <c r="B57">
        <f t="shared" si="7"/>
        <v>2027</v>
      </c>
      <c r="C57" s="80">
        <f>TIM_Output!AG23/1000</f>
        <v>27.785173761385483</v>
      </c>
      <c r="D57" s="80">
        <f t="shared" si="13"/>
        <v>0.40528891083932894</v>
      </c>
      <c r="E57" s="80">
        <f t="shared" si="14"/>
        <v>1.6419472867711775E-2</v>
      </c>
      <c r="F57" s="2">
        <f t="shared" si="5"/>
        <v>11.34808950350121</v>
      </c>
      <c r="G57" s="2">
        <f t="shared" si="5"/>
        <v>4.3511603099436202</v>
      </c>
      <c r="H57" s="2">
        <f t="shared" si="6"/>
        <v>43.484423574830316</v>
      </c>
      <c r="I57" s="2"/>
      <c r="J57" s="2"/>
      <c r="K57" s="74">
        <f t="shared" si="8"/>
        <v>0.36343502220216883</v>
      </c>
      <c r="L57" s="73"/>
      <c r="M57" s="3">
        <f t="shared" si="9"/>
        <v>0.36928022844031516</v>
      </c>
      <c r="N57" s="3">
        <f t="shared" si="10"/>
        <v>0.35010800195195013</v>
      </c>
      <c r="O57" s="3">
        <f t="shared" si="11"/>
        <v>0.35978754950163394</v>
      </c>
      <c r="X57" s="134"/>
      <c r="Y57">
        <f t="shared" si="12"/>
        <v>2027</v>
      </c>
      <c r="Z57" s="97">
        <f t="shared" si="20"/>
        <v>0.39422763169189556</v>
      </c>
      <c r="AA57" s="130">
        <f>'LULUCF Models'!S11/1000</f>
        <v>1.1061279147433366E-2</v>
      </c>
      <c r="AB57" s="130">
        <f t="shared" si="18"/>
        <v>0.40528891083932894</v>
      </c>
      <c r="AE57" s="97">
        <f t="shared" si="21"/>
        <v>1.5619869782441408E-2</v>
      </c>
      <c r="AF57">
        <f>'LULUCF Models'!T11/1000</f>
        <v>7.9960308527036528E-4</v>
      </c>
      <c r="AG57">
        <f t="shared" si="16"/>
        <v>1.6419472867711775E-2</v>
      </c>
    </row>
    <row r="58" spans="2:33" x14ac:dyDescent="0.35">
      <c r="B58">
        <f t="shared" si="7"/>
        <v>2028</v>
      </c>
      <c r="C58" s="80">
        <f>TIM_Output!AG24/1000</f>
        <v>25.304090159342181</v>
      </c>
      <c r="D58" s="80">
        <f t="shared" si="13"/>
        <v>0.37086628045414116</v>
      </c>
      <c r="E58" s="80">
        <f t="shared" si="14"/>
        <v>1.5049643348508104E-2</v>
      </c>
      <c r="F58" s="2">
        <f t="shared" si="5"/>
        <v>10.384255852715953</v>
      </c>
      <c r="G58" s="2">
        <f t="shared" si="5"/>
        <v>3.9881554873546476</v>
      </c>
      <c r="H58" s="2">
        <f t="shared" si="6"/>
        <v>39.67650149941278</v>
      </c>
      <c r="I58" s="2"/>
      <c r="J58" s="2"/>
      <c r="K58" s="74">
        <f t="shared" si="8"/>
        <v>0.41917888706501349</v>
      </c>
      <c r="L58" s="73"/>
      <c r="M58" s="3">
        <f t="shared" si="9"/>
        <v>0.4256004982410394</v>
      </c>
      <c r="N58" s="3">
        <f t="shared" si="10"/>
        <v>0.40530564353748033</v>
      </c>
      <c r="O58" s="3">
        <f t="shared" si="11"/>
        <v>0.41319863768455178</v>
      </c>
      <c r="R58" s="2"/>
      <c r="X58" s="134"/>
      <c r="Y58">
        <f t="shared" si="12"/>
        <v>2028</v>
      </c>
      <c r="Z58" s="97">
        <f t="shared" si="20"/>
        <v>0.36172875093362383</v>
      </c>
      <c r="AA58" s="130">
        <f>'LULUCF Models'!S12/1000</f>
        <v>9.1375295205173082E-3</v>
      </c>
      <c r="AB58" s="130">
        <f t="shared" si="18"/>
        <v>0.37086628045414116</v>
      </c>
      <c r="AE58" s="97">
        <f t="shared" si="21"/>
        <v>1.4389105204685015E-2</v>
      </c>
      <c r="AF58">
        <f>'LULUCF Models'!T12/1000</f>
        <v>6.6053814382308941E-4</v>
      </c>
      <c r="AG58">
        <f t="shared" si="16"/>
        <v>1.5049643348508104E-2</v>
      </c>
    </row>
    <row r="59" spans="2:33" x14ac:dyDescent="0.35">
      <c r="B59">
        <f t="shared" si="7"/>
        <v>2029</v>
      </c>
      <c r="C59" s="80">
        <f>TIM_Output!AG25/1000</f>
        <v>23.167906115897903</v>
      </c>
      <c r="D59" s="80">
        <f t="shared" si="13"/>
        <v>0.33726907327362254</v>
      </c>
      <c r="E59" s="80">
        <f t="shared" si="14"/>
        <v>1.3739482420279323E-2</v>
      </c>
      <c r="F59" s="2">
        <f t="shared" si="5"/>
        <v>9.4435340516614303</v>
      </c>
      <c r="G59" s="2">
        <f t="shared" si="5"/>
        <v>3.6409628413740203</v>
      </c>
      <c r="H59" s="2">
        <f t="shared" si="6"/>
        <v>36.252403008933356</v>
      </c>
      <c r="I59" s="2"/>
      <c r="J59" s="2"/>
      <c r="K59" s="74">
        <f t="shared" si="8"/>
        <v>0.46930398935178386</v>
      </c>
      <c r="L59" s="73"/>
      <c r="M59" s="3">
        <f t="shared" si="9"/>
        <v>0.47409159365261744</v>
      </c>
      <c r="N59" s="3">
        <f t="shared" si="10"/>
        <v>0.4591796961439617</v>
      </c>
      <c r="O59" s="3">
        <f t="shared" si="11"/>
        <v>0.46428318498801557</v>
      </c>
      <c r="R59" s="2"/>
      <c r="X59" s="134"/>
      <c r="Y59">
        <f t="shared" si="12"/>
        <v>2029</v>
      </c>
      <c r="Z59" s="97">
        <f t="shared" si="20"/>
        <v>0.3292298701753521</v>
      </c>
      <c r="AA59" s="130">
        <f>'LULUCF Models'!S13/1000</f>
        <v>8.039203098270456E-3</v>
      </c>
      <c r="AB59" s="130">
        <f t="shared" si="18"/>
        <v>0.33726907327362254</v>
      </c>
      <c r="AE59" s="97">
        <f t="shared" si="21"/>
        <v>1.3158340626928621E-2</v>
      </c>
      <c r="AF59">
        <f>'LULUCF Models'!T13/1000</f>
        <v>5.8114179335070075E-4</v>
      </c>
      <c r="AG59">
        <f t="shared" si="16"/>
        <v>1.3739482420279323E-2</v>
      </c>
    </row>
    <row r="60" spans="2:33" x14ac:dyDescent="0.35">
      <c r="B60">
        <f t="shared" si="7"/>
        <v>2030</v>
      </c>
      <c r="C60" s="71">
        <f>TIM_Output!AG26/1000</f>
        <v>21.599015142380825</v>
      </c>
      <c r="D60" s="80">
        <f t="shared" si="13"/>
        <v>0.30558169774738841</v>
      </c>
      <c r="E60" s="80">
        <f t="shared" si="14"/>
        <v>1.2567380324375299E-2</v>
      </c>
      <c r="F60" s="70">
        <f t="shared" si="5"/>
        <v>8.5562875369268756</v>
      </c>
      <c r="G60" s="70">
        <f t="shared" si="5"/>
        <v>3.3303557859594544</v>
      </c>
      <c r="H60" s="70">
        <f t="shared" si="6"/>
        <v>33.485658465267157</v>
      </c>
      <c r="I60" s="70"/>
      <c r="J60" s="70"/>
      <c r="K60" s="84">
        <f t="shared" si="8"/>
        <v>0.50980614010423331</v>
      </c>
      <c r="L60" s="73"/>
      <c r="M60" s="72">
        <f t="shared" si="9"/>
        <v>0.50970521136531088</v>
      </c>
      <c r="N60" s="72">
        <f t="shared" si="10"/>
        <v>0.50999128077625655</v>
      </c>
      <c r="O60" s="72">
        <f t="shared" si="11"/>
        <v>0.50998467376897427</v>
      </c>
      <c r="P60" s="3">
        <f>M60</f>
        <v>0.50970521136531088</v>
      </c>
      <c r="Q60" s="3">
        <f>N60</f>
        <v>0.50999128077625655</v>
      </c>
      <c r="R60" s="3">
        <f t="shared" ref="R60" si="23">O60</f>
        <v>0.50998467376897427</v>
      </c>
      <c r="S60" s="3">
        <f>K60</f>
        <v>0.50980614010423331</v>
      </c>
      <c r="T60" s="3"/>
      <c r="X60" s="134"/>
      <c r="Y60">
        <f t="shared" si="12"/>
        <v>2030</v>
      </c>
      <c r="Z60" s="97">
        <f t="shared" si="20"/>
        <v>0.29673098941708037</v>
      </c>
      <c r="AA60" s="130">
        <f>'LULUCF Models'!S14/1000</f>
        <v>8.8507083303080592E-3</v>
      </c>
      <c r="AB60" s="130">
        <f t="shared" si="18"/>
        <v>0.30558169774738841</v>
      </c>
      <c r="AE60" s="97">
        <f t="shared" si="21"/>
        <v>1.1927576049172228E-2</v>
      </c>
      <c r="AF60">
        <f>'LULUCF Models'!T14/1000</f>
        <v>6.3980427520307095E-4</v>
      </c>
      <c r="AG60">
        <f t="shared" si="16"/>
        <v>1.2567380324375299E-2</v>
      </c>
    </row>
    <row r="61" spans="2:33" x14ac:dyDescent="0.35">
      <c r="B61">
        <f t="shared" si="7"/>
        <v>2031</v>
      </c>
      <c r="C61" s="70">
        <f>TIM_Output!AG27/1000</f>
        <v>20.519064385261782</v>
      </c>
      <c r="D61" s="1">
        <f>D60*(1+I$1)</f>
        <v>0.30558169774738841</v>
      </c>
      <c r="E61" s="2">
        <f>E60*(1+I$1)</f>
        <v>1.2567380324375299E-2</v>
      </c>
      <c r="F61" s="2">
        <f t="shared" ref="F61:G76" si="24">D61*F$5</f>
        <v>8.5562875369268756</v>
      </c>
      <c r="G61" s="2">
        <f t="shared" si="24"/>
        <v>3.3303557859594544</v>
      </c>
      <c r="H61" s="2">
        <f>SUM(F61:G61)+C61+U61</f>
        <v>32.239189918850144</v>
      </c>
      <c r="I61" s="2"/>
      <c r="J61" s="2"/>
      <c r="K61" s="74">
        <f t="shared" si="8"/>
        <v>0.52805309285986124</v>
      </c>
      <c r="L61" s="73"/>
      <c r="M61" s="3">
        <f t="shared" si="9"/>
        <v>0.53421995079704532</v>
      </c>
      <c r="N61" s="3">
        <f t="shared" si="10"/>
        <v>0.50999128077625655</v>
      </c>
      <c r="O61" s="3">
        <f t="shared" si="11"/>
        <v>0.50998467376897427</v>
      </c>
      <c r="U61" s="2">
        <f>U60+$A$79</f>
        <v>-0.16651778929797273</v>
      </c>
      <c r="V61" s="2">
        <f>U61</f>
        <v>-0.16651778929797273</v>
      </c>
      <c r="X61" s="134"/>
    </row>
    <row r="62" spans="2:33" x14ac:dyDescent="0.35">
      <c r="B62">
        <f t="shared" si="7"/>
        <v>2032</v>
      </c>
      <c r="C62" s="70">
        <f>TIM_Output!AG28/1000</f>
        <v>19.439113628142817</v>
      </c>
      <c r="D62" s="1">
        <f>D61*(1+I$1)</f>
        <v>0.30558169774738841</v>
      </c>
      <c r="E62" s="2">
        <f t="shared" ref="E62:E90" si="25">E61*(1+I$1)</f>
        <v>1.2567380324375299E-2</v>
      </c>
      <c r="F62" s="2">
        <f t="shared" si="24"/>
        <v>8.5562875369268756</v>
      </c>
      <c r="G62" s="2">
        <f t="shared" si="24"/>
        <v>3.3303557859594544</v>
      </c>
      <c r="H62" s="2">
        <f t="shared" ref="H62:H80" si="26">SUM(F62:G62)+C62+U62</f>
        <v>30.992721372433202</v>
      </c>
      <c r="I62" s="2"/>
      <c r="J62" s="2"/>
      <c r="K62" s="74">
        <f t="shared" si="8"/>
        <v>0.54630004561548806</v>
      </c>
      <c r="L62" s="73"/>
      <c r="M62" s="3">
        <f t="shared" si="9"/>
        <v>0.55873469022877809</v>
      </c>
      <c r="N62" s="3">
        <f t="shared" si="10"/>
        <v>0.50999128077625655</v>
      </c>
      <c r="O62" s="3">
        <f t="shared" si="11"/>
        <v>0.50998467376897427</v>
      </c>
      <c r="U62" s="2">
        <f>U61+$A$79</f>
        <v>-0.33303557859594546</v>
      </c>
      <c r="V62" s="2">
        <f>U62+V61</f>
        <v>-0.49955336789391819</v>
      </c>
      <c r="X62" s="134"/>
    </row>
    <row r="63" spans="2:33" x14ac:dyDescent="0.35">
      <c r="B63">
        <f t="shared" si="7"/>
        <v>2033</v>
      </c>
      <c r="C63" s="70">
        <f>TIM_Output!AG29/1000</f>
        <v>18.35916287102372</v>
      </c>
      <c r="D63" s="1">
        <f t="shared" ref="D63:D90" si="27">D62*(1+I$1)</f>
        <v>0.30558169774738841</v>
      </c>
      <c r="E63" s="2">
        <f t="shared" si="25"/>
        <v>1.2567380324375299E-2</v>
      </c>
      <c r="F63" s="2">
        <f t="shared" si="24"/>
        <v>8.5562875369268756</v>
      </c>
      <c r="G63" s="2">
        <f t="shared" si="24"/>
        <v>3.3303557859594544</v>
      </c>
      <c r="H63" s="2">
        <f t="shared" si="26"/>
        <v>29.746252826016132</v>
      </c>
      <c r="I63" s="2"/>
      <c r="J63" s="2"/>
      <c r="K63" s="74">
        <f t="shared" si="8"/>
        <v>0.56454699837111688</v>
      </c>
      <c r="L63" s="73"/>
      <c r="M63" s="3">
        <f t="shared" si="9"/>
        <v>0.58324942966051374</v>
      </c>
      <c r="N63" s="3">
        <f t="shared" si="10"/>
        <v>0.50999128077625655</v>
      </c>
      <c r="O63" s="3">
        <f t="shared" si="11"/>
        <v>0.50998467376897427</v>
      </c>
      <c r="U63" s="2">
        <f t="shared" ref="U63:U80" si="28">U62+$A$79</f>
        <v>-0.49955336789391819</v>
      </c>
      <c r="V63" s="2">
        <f t="shared" ref="V63:V90" si="29">U63+V62</f>
        <v>-0.99910673578783638</v>
      </c>
      <c r="X63" s="134"/>
    </row>
    <row r="64" spans="2:33" x14ac:dyDescent="0.35">
      <c r="B64">
        <f t="shared" si="7"/>
        <v>2034</v>
      </c>
      <c r="C64" s="70">
        <f>TIM_Output!AG30/1000</f>
        <v>17.279212113904677</v>
      </c>
      <c r="D64" s="1">
        <f t="shared" si="27"/>
        <v>0.30558169774738841</v>
      </c>
      <c r="E64" s="2">
        <f t="shared" si="25"/>
        <v>1.2567380324375299E-2</v>
      </c>
      <c r="F64" s="2">
        <f t="shared" si="24"/>
        <v>8.5562875369268756</v>
      </c>
      <c r="G64" s="2">
        <f t="shared" si="24"/>
        <v>3.3303557859594544</v>
      </c>
      <c r="H64" s="2">
        <f t="shared" si="26"/>
        <v>28.499784279599115</v>
      </c>
      <c r="I64" s="2"/>
      <c r="J64" s="2"/>
      <c r="K64" s="74">
        <f t="shared" si="8"/>
        <v>0.58279395112674481</v>
      </c>
      <c r="L64" s="73"/>
      <c r="M64" s="3">
        <f t="shared" si="9"/>
        <v>0.60776416909224829</v>
      </c>
      <c r="N64" s="3">
        <f t="shared" si="10"/>
        <v>0.50999128077625655</v>
      </c>
      <c r="O64" s="3">
        <f t="shared" si="11"/>
        <v>0.50998467376897427</v>
      </c>
      <c r="U64" s="2">
        <f t="shared" si="28"/>
        <v>-0.66607115719189092</v>
      </c>
      <c r="V64" s="2">
        <f t="shared" si="29"/>
        <v>-1.6651778929797274</v>
      </c>
      <c r="X64" s="134"/>
    </row>
    <row r="65" spans="1:24" x14ac:dyDescent="0.35">
      <c r="B65">
        <f t="shared" si="7"/>
        <v>2035</v>
      </c>
      <c r="C65" s="70">
        <f>TIM_Output!AG31/1000</f>
        <v>16.199261356785652</v>
      </c>
      <c r="D65" s="1">
        <f t="shared" si="27"/>
        <v>0.30558169774738841</v>
      </c>
      <c r="E65" s="2">
        <f t="shared" si="25"/>
        <v>1.2567380324375299E-2</v>
      </c>
      <c r="F65" s="2">
        <f t="shared" si="24"/>
        <v>8.5562875369268756</v>
      </c>
      <c r="G65" s="2">
        <f t="shared" si="24"/>
        <v>3.3303557859594544</v>
      </c>
      <c r="H65" s="2">
        <f t="shared" si="26"/>
        <v>27.25331573318212</v>
      </c>
      <c r="I65" s="2"/>
      <c r="J65" s="2"/>
      <c r="K65" s="74">
        <f t="shared" si="8"/>
        <v>0.60104090388237241</v>
      </c>
      <c r="L65" s="73"/>
      <c r="M65" s="3">
        <f t="shared" si="9"/>
        <v>0.63227890852398239</v>
      </c>
      <c r="N65" s="3">
        <f t="shared" si="10"/>
        <v>0.50999128077625655</v>
      </c>
      <c r="O65" s="3">
        <f t="shared" si="11"/>
        <v>0.50998467376897427</v>
      </c>
      <c r="U65" s="2">
        <f t="shared" si="28"/>
        <v>-0.8325889464898637</v>
      </c>
      <c r="V65" s="2">
        <f t="shared" si="29"/>
        <v>-2.4977668394695911</v>
      </c>
      <c r="X65" s="134"/>
    </row>
    <row r="66" spans="1:24" x14ac:dyDescent="0.35">
      <c r="B66">
        <f t="shared" si="7"/>
        <v>2036</v>
      </c>
      <c r="C66" s="70">
        <f>TIM_Output!AG32/1000</f>
        <v>15.119310599666598</v>
      </c>
      <c r="D66" s="1">
        <f t="shared" si="27"/>
        <v>0.30558169774738841</v>
      </c>
      <c r="E66" s="2">
        <f t="shared" si="25"/>
        <v>1.2567380324375299E-2</v>
      </c>
      <c r="F66" s="2">
        <f t="shared" si="24"/>
        <v>8.5562875369268756</v>
      </c>
      <c r="G66" s="2">
        <f t="shared" si="24"/>
        <v>3.3303557859594544</v>
      </c>
      <c r="H66" s="2">
        <f t="shared" si="26"/>
        <v>26.006847186765089</v>
      </c>
      <c r="I66" s="2"/>
      <c r="J66" s="2"/>
      <c r="K66" s="74">
        <f t="shared" si="8"/>
        <v>0.61928785663800057</v>
      </c>
      <c r="L66" s="73"/>
      <c r="M66" s="3">
        <f t="shared" si="9"/>
        <v>0.65679364795571715</v>
      </c>
      <c r="N66" s="3">
        <f t="shared" si="10"/>
        <v>0.50999128077625655</v>
      </c>
      <c r="O66" s="3">
        <f t="shared" si="11"/>
        <v>0.50998467376897427</v>
      </c>
      <c r="U66" s="2">
        <f t="shared" si="28"/>
        <v>-0.99910673578783649</v>
      </c>
      <c r="V66" s="2">
        <f t="shared" si="29"/>
        <v>-3.4968735752574274</v>
      </c>
      <c r="X66" s="134"/>
    </row>
    <row r="67" spans="1:24" x14ac:dyDescent="0.35">
      <c r="B67">
        <f t="shared" si="7"/>
        <v>2037</v>
      </c>
      <c r="C67" s="70">
        <f>TIM_Output!AG33/1000</f>
        <v>14.039359842547555</v>
      </c>
      <c r="D67" s="1">
        <f t="shared" si="27"/>
        <v>0.30558169774738841</v>
      </c>
      <c r="E67" s="2">
        <f t="shared" si="25"/>
        <v>1.2567380324375299E-2</v>
      </c>
      <c r="F67" s="2">
        <f t="shared" si="24"/>
        <v>8.5562875369268756</v>
      </c>
      <c r="G67" s="2">
        <f t="shared" si="24"/>
        <v>3.3303557859594544</v>
      </c>
      <c r="H67" s="2">
        <f t="shared" si="26"/>
        <v>24.760378640348073</v>
      </c>
      <c r="I67" s="2"/>
      <c r="J67" s="2"/>
      <c r="K67" s="74">
        <f t="shared" si="8"/>
        <v>0.6375348093936285</v>
      </c>
      <c r="L67" s="73"/>
      <c r="M67" s="3">
        <f t="shared" si="9"/>
        <v>0.6813083873874517</v>
      </c>
      <c r="N67" s="3">
        <f t="shared" si="10"/>
        <v>0.50999128077625655</v>
      </c>
      <c r="O67" s="3">
        <f t="shared" si="11"/>
        <v>0.50998467376897427</v>
      </c>
      <c r="U67" s="2">
        <f t="shared" si="28"/>
        <v>-1.1656245250858093</v>
      </c>
      <c r="V67" s="2">
        <f t="shared" si="29"/>
        <v>-4.6624981003432371</v>
      </c>
      <c r="X67" s="134"/>
    </row>
    <row r="68" spans="1:24" x14ac:dyDescent="0.35">
      <c r="B68">
        <f t="shared" si="7"/>
        <v>2038</v>
      </c>
      <c r="C68" s="70">
        <f>TIM_Output!AG34/1000</f>
        <v>12.959409085428508</v>
      </c>
      <c r="D68" s="1">
        <f t="shared" si="27"/>
        <v>0.30558169774738841</v>
      </c>
      <c r="E68" s="2">
        <f t="shared" si="25"/>
        <v>1.2567380324375299E-2</v>
      </c>
      <c r="F68" s="2">
        <f t="shared" si="24"/>
        <v>8.5562875369268756</v>
      </c>
      <c r="G68" s="2">
        <f t="shared" si="24"/>
        <v>3.3303557859594544</v>
      </c>
      <c r="H68" s="2">
        <f t="shared" si="26"/>
        <v>23.513910093931059</v>
      </c>
      <c r="I68" s="2"/>
      <c r="J68" s="2"/>
      <c r="K68" s="74">
        <f t="shared" si="8"/>
        <v>0.65578176214925643</v>
      </c>
      <c r="L68" s="73"/>
      <c r="M68" s="3">
        <f t="shared" si="9"/>
        <v>0.70582312681918624</v>
      </c>
      <c r="N68" s="3">
        <f t="shared" si="10"/>
        <v>0.50999128077625655</v>
      </c>
      <c r="O68" s="3">
        <f t="shared" si="11"/>
        <v>0.50998467376897427</v>
      </c>
      <c r="U68" s="2">
        <f t="shared" si="28"/>
        <v>-1.3321423143837821</v>
      </c>
      <c r="V68" s="2">
        <f t="shared" si="29"/>
        <v>-5.9946404147270194</v>
      </c>
      <c r="X68" s="134"/>
    </row>
    <row r="69" spans="1:24" x14ac:dyDescent="0.35">
      <c r="B69">
        <f t="shared" si="7"/>
        <v>2039</v>
      </c>
      <c r="C69" s="70">
        <f>TIM_Output!AG35/1000</f>
        <v>11.879458328309468</v>
      </c>
      <c r="D69" s="1">
        <f t="shared" si="27"/>
        <v>0.30558169774738841</v>
      </c>
      <c r="E69" s="2">
        <f t="shared" si="25"/>
        <v>1.2567380324375299E-2</v>
      </c>
      <c r="F69" s="2">
        <f t="shared" si="24"/>
        <v>8.5562875369268756</v>
      </c>
      <c r="G69" s="2">
        <f t="shared" si="24"/>
        <v>3.3303557859594544</v>
      </c>
      <c r="H69" s="2">
        <f t="shared" si="26"/>
        <v>22.267441547514043</v>
      </c>
      <c r="I69" s="2"/>
      <c r="J69" s="2"/>
      <c r="K69" s="74">
        <f t="shared" si="8"/>
        <v>0.67402871490488436</v>
      </c>
      <c r="L69" s="73"/>
      <c r="M69" s="3">
        <f t="shared" si="9"/>
        <v>0.73033786625092056</v>
      </c>
      <c r="N69" s="3">
        <f t="shared" si="10"/>
        <v>0.50999128077625655</v>
      </c>
      <c r="O69" s="3">
        <f t="shared" si="11"/>
        <v>0.50998467376897427</v>
      </c>
      <c r="U69" s="2">
        <f t="shared" si="28"/>
        <v>-1.4986601036817548</v>
      </c>
      <c r="V69" s="2">
        <f t="shared" si="29"/>
        <v>-7.4933005184087742</v>
      </c>
      <c r="X69" s="134"/>
    </row>
    <row r="70" spans="1:24" x14ac:dyDescent="0.35">
      <c r="B70">
        <f t="shared" si="7"/>
        <v>2040</v>
      </c>
      <c r="C70" s="70">
        <f>TIM_Output!AG36/1000</f>
        <v>10.799507571190423</v>
      </c>
      <c r="D70" s="1">
        <f t="shared" si="27"/>
        <v>0.30558169774738841</v>
      </c>
      <c r="E70" s="2">
        <f t="shared" si="25"/>
        <v>1.2567380324375299E-2</v>
      </c>
      <c r="F70" s="2">
        <f t="shared" si="24"/>
        <v>8.5562875369268756</v>
      </c>
      <c r="G70" s="2">
        <f t="shared" si="24"/>
        <v>3.3303557859594544</v>
      </c>
      <c r="H70" s="2">
        <f t="shared" si="26"/>
        <v>21.020973001097026</v>
      </c>
      <c r="I70" s="2"/>
      <c r="J70" s="2"/>
      <c r="K70" s="74">
        <f t="shared" si="8"/>
        <v>0.69227566766051241</v>
      </c>
      <c r="L70" s="73"/>
      <c r="M70" s="3">
        <f t="shared" si="9"/>
        <v>0.75485260568265522</v>
      </c>
      <c r="N70" s="3">
        <f t="shared" si="10"/>
        <v>0.50999128077625655</v>
      </c>
      <c r="O70" s="3">
        <f t="shared" si="11"/>
        <v>0.50998467376897427</v>
      </c>
      <c r="P70" s="3">
        <f>M70</f>
        <v>0.75485260568265522</v>
      </c>
      <c r="Q70" s="3">
        <f t="shared" ref="Q70:R70" si="30">N70</f>
        <v>0.50999128077625655</v>
      </c>
      <c r="R70" s="3">
        <f t="shared" si="30"/>
        <v>0.50998467376897427</v>
      </c>
      <c r="S70" s="3">
        <f>K70</f>
        <v>0.69227566766051241</v>
      </c>
      <c r="T70" s="3"/>
      <c r="U70" s="2">
        <f t="shared" si="28"/>
        <v>-1.6651778929797276</v>
      </c>
      <c r="V70" s="2">
        <f t="shared" si="29"/>
        <v>-9.1584784113885025</v>
      </c>
      <c r="X70" s="134"/>
    </row>
    <row r="71" spans="1:24" x14ac:dyDescent="0.35">
      <c r="B71">
        <f t="shared" si="7"/>
        <v>2041</v>
      </c>
      <c r="C71" s="70">
        <f>TIM_Output!AG37/1000</f>
        <v>9.7195568140713746</v>
      </c>
      <c r="D71" s="1">
        <f t="shared" si="27"/>
        <v>0.30558169774738841</v>
      </c>
      <c r="E71" s="2">
        <f t="shared" si="25"/>
        <v>1.2567380324375299E-2</v>
      </c>
      <c r="F71" s="2">
        <f t="shared" si="24"/>
        <v>8.5562875369268756</v>
      </c>
      <c r="G71" s="2">
        <f t="shared" si="24"/>
        <v>3.3303557859594544</v>
      </c>
      <c r="H71" s="2">
        <f t="shared" si="26"/>
        <v>19.774504454680002</v>
      </c>
      <c r="I71" s="2"/>
      <c r="J71" s="2"/>
      <c r="K71" s="74">
        <f t="shared" si="8"/>
        <v>0.71052262041614034</v>
      </c>
      <c r="L71" s="73"/>
      <c r="M71" s="3">
        <f t="shared" si="9"/>
        <v>0.77936734511438976</v>
      </c>
      <c r="N71" s="3">
        <f t="shared" si="10"/>
        <v>0.50999128077625655</v>
      </c>
      <c r="O71" s="3">
        <f t="shared" si="11"/>
        <v>0.50998467376897427</v>
      </c>
      <c r="U71" s="2">
        <f t="shared" si="28"/>
        <v>-1.8316956822777004</v>
      </c>
      <c r="V71" s="2">
        <f t="shared" si="29"/>
        <v>-10.990174093666203</v>
      </c>
      <c r="X71" s="134"/>
    </row>
    <row r="72" spans="1:24" x14ac:dyDescent="0.35">
      <c r="B72">
        <f t="shared" si="7"/>
        <v>2042</v>
      </c>
      <c r="C72" s="70">
        <f>TIM_Output!AG38/1000</f>
        <v>8.6396060569523314</v>
      </c>
      <c r="D72" s="1">
        <f t="shared" si="27"/>
        <v>0.30558169774738841</v>
      </c>
      <c r="E72" s="2">
        <f t="shared" si="25"/>
        <v>1.2567380324375299E-2</v>
      </c>
      <c r="F72" s="2">
        <f t="shared" si="24"/>
        <v>8.5562875369268756</v>
      </c>
      <c r="G72" s="2">
        <f t="shared" si="24"/>
        <v>3.3303557859594544</v>
      </c>
      <c r="H72" s="2">
        <f t="shared" si="26"/>
        <v>18.528035908262986</v>
      </c>
      <c r="I72" s="2"/>
      <c r="J72" s="2"/>
      <c r="K72" s="74">
        <f t="shared" si="8"/>
        <v>0.72876957317176827</v>
      </c>
      <c r="L72" s="73"/>
      <c r="M72" s="3">
        <f t="shared" si="9"/>
        <v>0.80388208454612431</v>
      </c>
      <c r="N72" s="3">
        <f t="shared" si="10"/>
        <v>0.50999128077625655</v>
      </c>
      <c r="O72" s="3">
        <f t="shared" si="11"/>
        <v>0.50998467376897427</v>
      </c>
      <c r="U72" s="2">
        <f t="shared" si="28"/>
        <v>-1.9982134715756732</v>
      </c>
      <c r="V72" s="2">
        <f t="shared" si="29"/>
        <v>-12.988387565241876</v>
      </c>
      <c r="X72" s="134"/>
    </row>
    <row r="73" spans="1:24" x14ac:dyDescent="0.35">
      <c r="B73">
        <f t="shared" si="7"/>
        <v>2043</v>
      </c>
      <c r="C73" s="70">
        <f>TIM_Output!AG39/1000</f>
        <v>7.5596552998332918</v>
      </c>
      <c r="D73" s="1">
        <f t="shared" si="27"/>
        <v>0.30558169774738841</v>
      </c>
      <c r="E73" s="2">
        <f t="shared" si="25"/>
        <v>1.2567380324375299E-2</v>
      </c>
      <c r="F73" s="2">
        <f t="shared" si="24"/>
        <v>8.5562875369268756</v>
      </c>
      <c r="G73" s="2">
        <f t="shared" si="24"/>
        <v>3.3303557859594544</v>
      </c>
      <c r="H73" s="2">
        <f t="shared" si="26"/>
        <v>17.28156736184598</v>
      </c>
      <c r="I73" s="2"/>
      <c r="J73" s="2"/>
      <c r="K73" s="74">
        <f t="shared" si="8"/>
        <v>0.7470165259273962</v>
      </c>
      <c r="L73" s="73"/>
      <c r="M73" s="3">
        <f t="shared" si="9"/>
        <v>0.82839682397785874</v>
      </c>
      <c r="N73" s="3">
        <f t="shared" si="10"/>
        <v>0.50999128077625655</v>
      </c>
      <c r="O73" s="3">
        <f t="shared" si="11"/>
        <v>0.50998467376897427</v>
      </c>
      <c r="U73" s="2">
        <f t="shared" si="28"/>
        <v>-2.164731260873646</v>
      </c>
      <c r="V73" s="2">
        <f t="shared" si="29"/>
        <v>-15.153118826115522</v>
      </c>
      <c r="X73" s="134"/>
    </row>
    <row r="74" spans="1:24" x14ac:dyDescent="0.35">
      <c r="B74">
        <f t="shared" si="7"/>
        <v>2044</v>
      </c>
      <c r="C74" s="70">
        <f>TIM_Output!AG40/1000</f>
        <v>6.4797045427142566</v>
      </c>
      <c r="D74" s="1">
        <f t="shared" si="27"/>
        <v>0.30558169774738841</v>
      </c>
      <c r="E74" s="2">
        <f t="shared" si="25"/>
        <v>1.2567380324375299E-2</v>
      </c>
      <c r="F74" s="2">
        <f t="shared" si="24"/>
        <v>8.5562875369268756</v>
      </c>
      <c r="G74" s="2">
        <f t="shared" si="24"/>
        <v>3.3303557859594544</v>
      </c>
      <c r="H74" s="2">
        <f t="shared" si="26"/>
        <v>16.03509881542897</v>
      </c>
      <c r="I74" s="2"/>
      <c r="J74" s="2"/>
      <c r="K74" s="74">
        <f t="shared" si="8"/>
        <v>0.76526347868302391</v>
      </c>
      <c r="L74" s="73"/>
      <c r="M74" s="3">
        <f t="shared" si="9"/>
        <v>0.85291156340959307</v>
      </c>
      <c r="N74" s="3">
        <f t="shared" si="10"/>
        <v>0.50999128077625655</v>
      </c>
      <c r="O74" s="3">
        <f t="shared" si="11"/>
        <v>0.50998467376897427</v>
      </c>
      <c r="U74" s="2">
        <f t="shared" si="28"/>
        <v>-2.3312490501716185</v>
      </c>
      <c r="V74" s="2">
        <f t="shared" si="29"/>
        <v>-17.484367876287141</v>
      </c>
      <c r="X74" s="134"/>
    </row>
    <row r="75" spans="1:24" x14ac:dyDescent="0.35">
      <c r="B75">
        <f t="shared" si="7"/>
        <v>2045</v>
      </c>
      <c r="C75" s="70">
        <f>TIM_Output!AG41/1000</f>
        <v>5.399753785595208</v>
      </c>
      <c r="D75" s="1">
        <f t="shared" si="27"/>
        <v>0.30558169774738841</v>
      </c>
      <c r="E75" s="2">
        <f t="shared" si="25"/>
        <v>1.2567380324375299E-2</v>
      </c>
      <c r="F75" s="2">
        <f t="shared" si="24"/>
        <v>8.5562875369268756</v>
      </c>
      <c r="G75" s="2">
        <f t="shared" si="24"/>
        <v>3.3303557859594544</v>
      </c>
      <c r="H75" s="2">
        <f t="shared" si="26"/>
        <v>14.788630269011946</v>
      </c>
      <c r="I75" s="2"/>
      <c r="J75" s="2"/>
      <c r="K75" s="74">
        <f t="shared" si="8"/>
        <v>0.78351043143865207</v>
      </c>
      <c r="L75" s="73"/>
      <c r="M75" s="3">
        <f t="shared" si="9"/>
        <v>0.87742630284132761</v>
      </c>
      <c r="N75" s="3">
        <f t="shared" si="10"/>
        <v>0.50999128077625655</v>
      </c>
      <c r="O75" s="3">
        <f t="shared" si="11"/>
        <v>0.50998467376897427</v>
      </c>
      <c r="U75" s="2">
        <f t="shared" si="28"/>
        <v>-2.4977668394695911</v>
      </c>
      <c r="V75" s="2">
        <f t="shared" si="29"/>
        <v>-19.982134715756732</v>
      </c>
      <c r="X75" s="134"/>
    </row>
    <row r="76" spans="1:24" x14ac:dyDescent="0.35">
      <c r="B76">
        <f t="shared" si="7"/>
        <v>2046</v>
      </c>
      <c r="C76" s="70">
        <f>TIM_Output!AG42/1000</f>
        <v>4.3198030284761781</v>
      </c>
      <c r="D76" s="1">
        <f t="shared" si="27"/>
        <v>0.30558169774738841</v>
      </c>
      <c r="E76" s="2">
        <f t="shared" si="25"/>
        <v>1.2567380324375299E-2</v>
      </c>
      <c r="F76" s="2">
        <f t="shared" si="24"/>
        <v>8.5562875369268756</v>
      </c>
      <c r="G76" s="2">
        <f t="shared" si="24"/>
        <v>3.3303557859594544</v>
      </c>
      <c r="H76" s="2">
        <f t="shared" si="26"/>
        <v>13.542161722594944</v>
      </c>
      <c r="I76" s="2"/>
      <c r="J76" s="2"/>
      <c r="K76" s="74">
        <f t="shared" si="8"/>
        <v>0.80175738419427978</v>
      </c>
      <c r="L76" s="73"/>
      <c r="M76" s="3">
        <f t="shared" si="9"/>
        <v>0.90194104227306182</v>
      </c>
      <c r="N76" s="3">
        <f t="shared" si="10"/>
        <v>0.50999128077625655</v>
      </c>
      <c r="O76" s="3">
        <f t="shared" si="11"/>
        <v>0.50998467376897427</v>
      </c>
      <c r="U76" s="2">
        <f t="shared" si="28"/>
        <v>-2.6642846287675637</v>
      </c>
      <c r="V76" s="2">
        <f t="shared" si="29"/>
        <v>-22.646419344524297</v>
      </c>
      <c r="X76" s="134"/>
    </row>
    <row r="77" spans="1:24" x14ac:dyDescent="0.35">
      <c r="B77">
        <f t="shared" si="7"/>
        <v>2047</v>
      </c>
      <c r="C77" s="70">
        <f>TIM_Output!AG43/1000</f>
        <v>3.2398522713571314</v>
      </c>
      <c r="D77" s="1">
        <f t="shared" si="27"/>
        <v>0.30558169774738841</v>
      </c>
      <c r="E77" s="2">
        <f t="shared" si="25"/>
        <v>1.2567380324375299E-2</v>
      </c>
      <c r="F77" s="2">
        <f t="shared" ref="F77:G90" si="31">D77*F$5</f>
        <v>8.5562875369268756</v>
      </c>
      <c r="G77" s="2">
        <f t="shared" si="31"/>
        <v>3.3303557859594544</v>
      </c>
      <c r="H77" s="2">
        <f t="shared" si="26"/>
        <v>12.295693176177926</v>
      </c>
      <c r="I77" s="2"/>
      <c r="J77" s="2"/>
      <c r="K77" s="74">
        <f t="shared" si="8"/>
        <v>0.82000433694990771</v>
      </c>
      <c r="L77" s="73"/>
      <c r="M77" s="3">
        <f t="shared" si="9"/>
        <v>0.92645578170479648</v>
      </c>
      <c r="N77" s="3">
        <f t="shared" si="10"/>
        <v>0.50999128077625655</v>
      </c>
      <c r="O77" s="3">
        <f t="shared" si="11"/>
        <v>0.50998467376897427</v>
      </c>
      <c r="U77" s="2">
        <f t="shared" si="28"/>
        <v>-2.8308024180655362</v>
      </c>
      <c r="V77" s="2">
        <f t="shared" si="29"/>
        <v>-25.477221762589835</v>
      </c>
      <c r="X77" s="134"/>
    </row>
    <row r="78" spans="1:24" x14ac:dyDescent="0.35">
      <c r="B78">
        <f t="shared" si="7"/>
        <v>2048</v>
      </c>
      <c r="C78" s="70">
        <f>TIM_Output!AG44/1000</f>
        <v>2.1599015142380749</v>
      </c>
      <c r="D78" s="1">
        <f t="shared" si="27"/>
        <v>0.30558169774738841</v>
      </c>
      <c r="E78" s="2">
        <f t="shared" si="25"/>
        <v>1.2567380324375299E-2</v>
      </c>
      <c r="F78" s="2">
        <f t="shared" si="31"/>
        <v>8.5562875369268756</v>
      </c>
      <c r="G78" s="2">
        <f t="shared" si="31"/>
        <v>3.3303557859594544</v>
      </c>
      <c r="H78" s="2">
        <f t="shared" si="26"/>
        <v>11.049224629760896</v>
      </c>
      <c r="I78" s="2"/>
      <c r="J78" s="2"/>
      <c r="K78" s="74">
        <f t="shared" si="8"/>
        <v>0.83825128970553586</v>
      </c>
      <c r="L78" s="73"/>
      <c r="M78" s="3">
        <f t="shared" si="9"/>
        <v>0.95097052113653124</v>
      </c>
      <c r="N78" s="3">
        <f t="shared" si="10"/>
        <v>0.50999128077625655</v>
      </c>
      <c r="O78" s="3">
        <f t="shared" si="11"/>
        <v>0.50998467376897427</v>
      </c>
      <c r="U78" s="2">
        <f t="shared" si="28"/>
        <v>-2.9973202073635088</v>
      </c>
      <c r="V78" s="2">
        <f t="shared" si="29"/>
        <v>-28.474541969953343</v>
      </c>
      <c r="X78" s="134"/>
    </row>
    <row r="79" spans="1:24" x14ac:dyDescent="0.35">
      <c r="A79">
        <f>-A80/20</f>
        <v>-0.16651778929797273</v>
      </c>
      <c r="B79">
        <f t="shared" si="7"/>
        <v>2049</v>
      </c>
      <c r="C79" s="70">
        <f>TIM_Output!AG45/1000</f>
        <v>1.0799507571190341</v>
      </c>
      <c r="D79" s="1">
        <f t="shared" si="27"/>
        <v>0.30558169774738841</v>
      </c>
      <c r="E79" s="2">
        <f t="shared" si="25"/>
        <v>1.2567380324375299E-2</v>
      </c>
      <c r="F79" s="2">
        <f t="shared" si="31"/>
        <v>8.5562875369268756</v>
      </c>
      <c r="G79" s="2">
        <f t="shared" si="31"/>
        <v>3.3303557859594544</v>
      </c>
      <c r="H79" s="2">
        <f t="shared" si="26"/>
        <v>9.8027560833438834</v>
      </c>
      <c r="I79" s="78"/>
      <c r="J79" s="2"/>
      <c r="K79" s="74">
        <f t="shared" si="8"/>
        <v>0.85649824246116379</v>
      </c>
      <c r="L79" s="73"/>
      <c r="M79" s="3">
        <f t="shared" si="9"/>
        <v>0.97548526056826568</v>
      </c>
      <c r="N79" s="3">
        <f t="shared" si="10"/>
        <v>0.50999128077625655</v>
      </c>
      <c r="O79" s="3">
        <f t="shared" si="11"/>
        <v>0.50998467376897427</v>
      </c>
      <c r="U79" s="2">
        <f t="shared" si="28"/>
        <v>-3.1638379966614814</v>
      </c>
      <c r="V79" s="2">
        <f t="shared" si="29"/>
        <v>-31.638379966614824</v>
      </c>
      <c r="X79" s="134"/>
    </row>
    <row r="80" spans="1:24" x14ac:dyDescent="0.35">
      <c r="A80" s="2">
        <f>A82+A83</f>
        <v>3.3303557859594544</v>
      </c>
      <c r="B80">
        <f t="shared" si="7"/>
        <v>2050</v>
      </c>
      <c r="C80" s="70">
        <f>TIM_Output!AG46/1000</f>
        <v>2.8804233201616342E-15</v>
      </c>
      <c r="D80" s="1">
        <f t="shared" si="27"/>
        <v>0.30558169774738841</v>
      </c>
      <c r="E80" s="2">
        <f t="shared" si="25"/>
        <v>1.2567380324375299E-2</v>
      </c>
      <c r="F80" s="2">
        <f t="shared" si="31"/>
        <v>8.5562875369268756</v>
      </c>
      <c r="G80" s="2">
        <f>G79</f>
        <v>3.3303557859594544</v>
      </c>
      <c r="H80" s="2">
        <f t="shared" si="26"/>
        <v>8.5562875369268809</v>
      </c>
      <c r="I80" s="78"/>
      <c r="J80" s="2"/>
      <c r="K80" s="74">
        <f t="shared" si="8"/>
        <v>0.8747451952167915</v>
      </c>
      <c r="L80" s="73"/>
      <c r="M80" s="3">
        <f t="shared" si="9"/>
        <v>0.99999999999999989</v>
      </c>
      <c r="N80" s="3">
        <f t="shared" si="10"/>
        <v>0.50999128077625655</v>
      </c>
      <c r="O80" s="3">
        <f t="shared" si="11"/>
        <v>0.50998467376897427</v>
      </c>
      <c r="P80" s="3">
        <f>M80</f>
        <v>0.99999999999999989</v>
      </c>
      <c r="Q80" s="3">
        <f t="shared" ref="Q80:R80" si="32">N80</f>
        <v>0.50999128077625655</v>
      </c>
      <c r="R80" s="3">
        <f t="shared" si="32"/>
        <v>0.50998467376897427</v>
      </c>
      <c r="S80" s="3">
        <f>K80</f>
        <v>0.8747451952167915</v>
      </c>
      <c r="T80" s="3"/>
      <c r="U80" s="2">
        <f t="shared" si="28"/>
        <v>-3.3303557859594539</v>
      </c>
      <c r="V80" s="2">
        <f t="shared" si="29"/>
        <v>-34.968735752574275</v>
      </c>
      <c r="X80" s="134"/>
    </row>
    <row r="81" spans="1:24" x14ac:dyDescent="0.35">
      <c r="B81">
        <f t="shared" si="7"/>
        <v>2051</v>
      </c>
      <c r="C81" s="2">
        <v>0</v>
      </c>
      <c r="D81" s="1">
        <f t="shared" si="27"/>
        <v>0.30558169774738841</v>
      </c>
      <c r="E81" s="2">
        <f t="shared" si="25"/>
        <v>1.2567380324375299E-2</v>
      </c>
      <c r="F81" s="2">
        <f t="shared" si="31"/>
        <v>8.5562875369268756</v>
      </c>
      <c r="G81" s="2">
        <f t="shared" ref="G81:G90" si="33">G80</f>
        <v>3.3303557859594544</v>
      </c>
      <c r="H81" s="2">
        <f t="shared" ref="H81:H90" si="34">SUM(F81:G81)+C81</f>
        <v>11.88664332288633</v>
      </c>
      <c r="I81" s="78"/>
      <c r="J81" s="2"/>
      <c r="K81" s="74">
        <f t="shared" si="8"/>
        <v>0.8259923848386117</v>
      </c>
      <c r="L81" s="73"/>
      <c r="M81" s="3">
        <f t="shared" si="9"/>
        <v>1</v>
      </c>
      <c r="N81" s="3">
        <f t="shared" si="10"/>
        <v>0.50999128077625655</v>
      </c>
      <c r="O81" s="3">
        <f t="shared" si="11"/>
        <v>0.50998467376897427</v>
      </c>
      <c r="U81" s="2">
        <f>U80</f>
        <v>-3.3303557859594539</v>
      </c>
      <c r="V81" s="2">
        <f t="shared" si="29"/>
        <v>-38.29909153853373</v>
      </c>
      <c r="X81" s="134"/>
    </row>
    <row r="82" spans="1:24" x14ac:dyDescent="0.35">
      <c r="A82">
        <f>IF(InputOutput!B6="Yes",F79,0)</f>
        <v>0</v>
      </c>
      <c r="B82">
        <f t="shared" si="7"/>
        <v>2052</v>
      </c>
      <c r="C82" s="2">
        <f>C81</f>
        <v>0</v>
      </c>
      <c r="D82" s="1">
        <f t="shared" si="27"/>
        <v>0.30558169774738841</v>
      </c>
      <c r="E82" s="2">
        <f t="shared" si="25"/>
        <v>1.2567380324375299E-2</v>
      </c>
      <c r="F82" s="2">
        <f t="shared" si="31"/>
        <v>8.5562875369268756</v>
      </c>
      <c r="G82" s="2">
        <f t="shared" si="33"/>
        <v>3.3303557859594544</v>
      </c>
      <c r="H82" s="2">
        <f t="shared" si="34"/>
        <v>11.88664332288633</v>
      </c>
      <c r="I82" s="78"/>
      <c r="J82" s="2"/>
      <c r="K82" s="74">
        <f t="shared" si="8"/>
        <v>0.8259923848386117</v>
      </c>
      <c r="L82" s="73"/>
      <c r="M82" s="3">
        <f t="shared" si="9"/>
        <v>1</v>
      </c>
      <c r="N82" s="3">
        <f t="shared" si="10"/>
        <v>0.50999128077625655</v>
      </c>
      <c r="O82" s="3">
        <f t="shared" si="11"/>
        <v>0.50998467376897427</v>
      </c>
      <c r="U82" s="2">
        <f t="shared" ref="U82:U90" si="35">U81</f>
        <v>-3.3303557859594539</v>
      </c>
      <c r="V82" s="2">
        <f t="shared" si="29"/>
        <v>-41.629447324493185</v>
      </c>
      <c r="X82" s="134"/>
    </row>
    <row r="83" spans="1:24" x14ac:dyDescent="0.35">
      <c r="A83">
        <f>IF(InputOutput!B7="Yes",G80,0)</f>
        <v>3.3303557859594544</v>
      </c>
      <c r="B83">
        <f t="shared" si="7"/>
        <v>2053</v>
      </c>
      <c r="C83" s="2">
        <f t="shared" ref="C83:C90" si="36">C82</f>
        <v>0</v>
      </c>
      <c r="D83" s="1">
        <f t="shared" si="27"/>
        <v>0.30558169774738841</v>
      </c>
      <c r="E83" s="2">
        <f t="shared" si="25"/>
        <v>1.2567380324375299E-2</v>
      </c>
      <c r="F83" s="2">
        <f t="shared" si="31"/>
        <v>8.5562875369268756</v>
      </c>
      <c r="G83" s="2">
        <f t="shared" si="33"/>
        <v>3.3303557859594544</v>
      </c>
      <c r="H83" s="2">
        <f t="shared" si="34"/>
        <v>11.88664332288633</v>
      </c>
      <c r="I83" s="78"/>
      <c r="J83" s="2"/>
      <c r="K83" s="74">
        <f t="shared" si="8"/>
        <v>0.8259923848386117</v>
      </c>
      <c r="L83" s="73"/>
      <c r="M83" s="3">
        <f t="shared" si="9"/>
        <v>1</v>
      </c>
      <c r="N83" s="3">
        <f t="shared" si="10"/>
        <v>0.50999128077625655</v>
      </c>
      <c r="O83" s="3">
        <f t="shared" si="11"/>
        <v>0.50998467376897427</v>
      </c>
      <c r="U83" s="2">
        <f t="shared" si="35"/>
        <v>-3.3303557859594539</v>
      </c>
      <c r="V83" s="2">
        <f t="shared" si="29"/>
        <v>-44.95980311045264</v>
      </c>
      <c r="X83" s="134"/>
    </row>
    <row r="84" spans="1:24" x14ac:dyDescent="0.35">
      <c r="B84">
        <f t="shared" si="7"/>
        <v>2054</v>
      </c>
      <c r="C84" s="2">
        <f t="shared" si="36"/>
        <v>0</v>
      </c>
      <c r="D84" s="1">
        <f t="shared" si="27"/>
        <v>0.30558169774738841</v>
      </c>
      <c r="E84" s="2">
        <f t="shared" si="25"/>
        <v>1.2567380324375299E-2</v>
      </c>
      <c r="F84" s="2">
        <f t="shared" si="31"/>
        <v>8.5562875369268756</v>
      </c>
      <c r="G84" s="2">
        <f t="shared" si="33"/>
        <v>3.3303557859594544</v>
      </c>
      <c r="H84" s="2">
        <f t="shared" si="34"/>
        <v>11.88664332288633</v>
      </c>
      <c r="I84" s="78"/>
      <c r="J84" s="2"/>
      <c r="K84" s="74">
        <f t="shared" si="8"/>
        <v>0.8259923848386117</v>
      </c>
      <c r="L84" s="73"/>
      <c r="M84" s="3">
        <f t="shared" si="9"/>
        <v>1</v>
      </c>
      <c r="N84" s="3">
        <f t="shared" si="10"/>
        <v>0.50999128077625655</v>
      </c>
      <c r="O84" s="3">
        <f t="shared" si="11"/>
        <v>0.50998467376897427</v>
      </c>
      <c r="U84" s="2">
        <f t="shared" si="35"/>
        <v>-3.3303557859594539</v>
      </c>
      <c r="V84" s="2">
        <f t="shared" si="29"/>
        <v>-48.290158896412095</v>
      </c>
      <c r="X84" s="134"/>
    </row>
    <row r="85" spans="1:24" x14ac:dyDescent="0.35">
      <c r="B85">
        <f t="shared" si="7"/>
        <v>2055</v>
      </c>
      <c r="C85" s="2">
        <f t="shared" si="36"/>
        <v>0</v>
      </c>
      <c r="D85" s="1">
        <f t="shared" si="27"/>
        <v>0.30558169774738841</v>
      </c>
      <c r="E85" s="2">
        <f t="shared" si="25"/>
        <v>1.2567380324375299E-2</v>
      </c>
      <c r="F85" s="2">
        <f t="shared" si="31"/>
        <v>8.5562875369268756</v>
      </c>
      <c r="G85" s="2">
        <f t="shared" si="33"/>
        <v>3.3303557859594544</v>
      </c>
      <c r="H85" s="2">
        <f t="shared" si="34"/>
        <v>11.88664332288633</v>
      </c>
      <c r="I85" s="78"/>
      <c r="J85" s="2"/>
      <c r="K85" s="74">
        <f t="shared" si="8"/>
        <v>0.8259923848386117</v>
      </c>
      <c r="L85" s="73"/>
      <c r="M85" s="3">
        <f t="shared" si="9"/>
        <v>1</v>
      </c>
      <c r="N85" s="3">
        <f t="shared" si="10"/>
        <v>0.50999128077625655</v>
      </c>
      <c r="O85" s="3">
        <f t="shared" si="11"/>
        <v>0.50998467376897427</v>
      </c>
      <c r="U85" s="2">
        <f t="shared" si="35"/>
        <v>-3.3303557859594539</v>
      </c>
      <c r="V85" s="2">
        <f>U85+V84</f>
        <v>-51.620514682371549</v>
      </c>
      <c r="X85" s="134"/>
    </row>
    <row r="86" spans="1:24" x14ac:dyDescent="0.35">
      <c r="B86">
        <f t="shared" ref="B86:B90" si="37">B85+1</f>
        <v>2056</v>
      </c>
      <c r="C86" s="2">
        <f t="shared" si="36"/>
        <v>0</v>
      </c>
      <c r="D86" s="1">
        <f t="shared" si="27"/>
        <v>0.30558169774738841</v>
      </c>
      <c r="E86" s="2">
        <f t="shared" si="25"/>
        <v>1.2567380324375299E-2</v>
      </c>
      <c r="F86" s="2">
        <f t="shared" si="31"/>
        <v>8.5562875369268756</v>
      </c>
      <c r="G86" s="2">
        <f t="shared" si="33"/>
        <v>3.3303557859594544</v>
      </c>
      <c r="H86" s="2">
        <f t="shared" si="34"/>
        <v>11.88664332288633</v>
      </c>
      <c r="I86" s="78"/>
      <c r="J86" s="2"/>
      <c r="K86" s="74">
        <f t="shared" si="8"/>
        <v>0.8259923848386117</v>
      </c>
      <c r="L86" s="73"/>
      <c r="M86" s="3">
        <f t="shared" si="9"/>
        <v>1</v>
      </c>
      <c r="N86" s="3">
        <f t="shared" si="10"/>
        <v>0.50999128077625655</v>
      </c>
      <c r="O86" s="3">
        <f t="shared" si="11"/>
        <v>0.50998467376897427</v>
      </c>
      <c r="U86" s="2">
        <f t="shared" si="35"/>
        <v>-3.3303557859594539</v>
      </c>
      <c r="V86" s="2">
        <f t="shared" si="29"/>
        <v>-54.950870468331004</v>
      </c>
      <c r="X86" s="134"/>
    </row>
    <row r="87" spans="1:24" x14ac:dyDescent="0.35">
      <c r="B87">
        <f t="shared" si="37"/>
        <v>2057</v>
      </c>
      <c r="C87" s="2">
        <f t="shared" si="36"/>
        <v>0</v>
      </c>
      <c r="D87" s="1">
        <f t="shared" si="27"/>
        <v>0.30558169774738841</v>
      </c>
      <c r="E87" s="2">
        <f t="shared" si="25"/>
        <v>1.2567380324375299E-2</v>
      </c>
      <c r="F87" s="2">
        <f t="shared" si="31"/>
        <v>8.5562875369268756</v>
      </c>
      <c r="G87" s="2">
        <f t="shared" si="33"/>
        <v>3.3303557859594544</v>
      </c>
      <c r="H87" s="2">
        <f t="shared" si="34"/>
        <v>11.88664332288633</v>
      </c>
      <c r="I87" s="78"/>
      <c r="J87" s="2"/>
      <c r="K87" s="74">
        <f t="shared" si="8"/>
        <v>0.8259923848386117</v>
      </c>
      <c r="L87" s="73"/>
      <c r="M87" s="3">
        <f t="shared" si="9"/>
        <v>1</v>
      </c>
      <c r="N87" s="3">
        <f t="shared" si="10"/>
        <v>0.50999128077625655</v>
      </c>
      <c r="O87" s="3">
        <f t="shared" si="11"/>
        <v>0.50998467376897427</v>
      </c>
      <c r="U87" s="2">
        <f t="shared" si="35"/>
        <v>-3.3303557859594539</v>
      </c>
      <c r="V87" s="2">
        <f t="shared" si="29"/>
        <v>-58.281226254290459</v>
      </c>
      <c r="X87" s="134"/>
    </row>
    <row r="88" spans="1:24" x14ac:dyDescent="0.35">
      <c r="B88">
        <f t="shared" si="37"/>
        <v>2058</v>
      </c>
      <c r="C88" s="2">
        <f t="shared" si="36"/>
        <v>0</v>
      </c>
      <c r="D88" s="1">
        <f t="shared" si="27"/>
        <v>0.30558169774738841</v>
      </c>
      <c r="E88" s="2">
        <f t="shared" si="25"/>
        <v>1.2567380324375299E-2</v>
      </c>
      <c r="F88" s="2">
        <f t="shared" si="31"/>
        <v>8.5562875369268756</v>
      </c>
      <c r="G88" s="2">
        <f t="shared" si="33"/>
        <v>3.3303557859594544</v>
      </c>
      <c r="H88" s="2">
        <f t="shared" si="34"/>
        <v>11.88664332288633</v>
      </c>
      <c r="I88" s="78"/>
      <c r="J88" s="2"/>
      <c r="K88" s="74">
        <f t="shared" si="8"/>
        <v>0.8259923848386117</v>
      </c>
      <c r="L88" s="73"/>
      <c r="M88" s="3">
        <f t="shared" si="9"/>
        <v>1</v>
      </c>
      <c r="N88" s="3">
        <f t="shared" si="10"/>
        <v>0.50999128077625655</v>
      </c>
      <c r="O88" s="3">
        <f t="shared" si="11"/>
        <v>0.50998467376897427</v>
      </c>
      <c r="U88" s="2">
        <f t="shared" si="35"/>
        <v>-3.3303557859594539</v>
      </c>
      <c r="V88" s="2">
        <f t="shared" si="29"/>
        <v>-61.611582040249914</v>
      </c>
      <c r="X88" s="134"/>
    </row>
    <row r="89" spans="1:24" x14ac:dyDescent="0.35">
      <c r="B89">
        <f t="shared" si="37"/>
        <v>2059</v>
      </c>
      <c r="C89" s="2">
        <f t="shared" si="36"/>
        <v>0</v>
      </c>
      <c r="D89" s="1">
        <f t="shared" si="27"/>
        <v>0.30558169774738841</v>
      </c>
      <c r="E89" s="2">
        <f t="shared" si="25"/>
        <v>1.2567380324375299E-2</v>
      </c>
      <c r="F89" s="2">
        <f t="shared" si="31"/>
        <v>8.5562875369268756</v>
      </c>
      <c r="G89" s="2">
        <f t="shared" si="33"/>
        <v>3.3303557859594544</v>
      </c>
      <c r="H89" s="2">
        <f t="shared" si="34"/>
        <v>11.88664332288633</v>
      </c>
      <c r="I89" s="78"/>
      <c r="J89" s="2"/>
      <c r="K89" s="74">
        <f t="shared" si="8"/>
        <v>0.8259923848386117</v>
      </c>
      <c r="L89" s="73"/>
      <c r="M89" s="3">
        <f t="shared" si="9"/>
        <v>1</v>
      </c>
      <c r="N89" s="3">
        <f t="shared" si="10"/>
        <v>0.50999128077625655</v>
      </c>
      <c r="O89" s="3">
        <f t="shared" si="11"/>
        <v>0.50998467376897427</v>
      </c>
      <c r="U89" s="2">
        <f t="shared" si="35"/>
        <v>-3.3303557859594539</v>
      </c>
      <c r="V89" s="2">
        <f t="shared" si="29"/>
        <v>-64.941937826209369</v>
      </c>
      <c r="X89" s="134"/>
    </row>
    <row r="90" spans="1:24" x14ac:dyDescent="0.35">
      <c r="B90">
        <f t="shared" si="37"/>
        <v>2060</v>
      </c>
      <c r="C90" s="2">
        <f t="shared" si="36"/>
        <v>0</v>
      </c>
      <c r="D90" s="1">
        <f t="shared" si="27"/>
        <v>0.30558169774738841</v>
      </c>
      <c r="E90" s="2">
        <f t="shared" si="25"/>
        <v>1.2567380324375299E-2</v>
      </c>
      <c r="F90" s="2">
        <f t="shared" si="31"/>
        <v>8.5562875369268756</v>
      </c>
      <c r="G90" s="2">
        <f t="shared" si="33"/>
        <v>3.3303557859594544</v>
      </c>
      <c r="H90" s="2">
        <f t="shared" si="34"/>
        <v>11.88664332288633</v>
      </c>
      <c r="I90" s="78"/>
      <c r="J90" s="2"/>
      <c r="K90" s="74">
        <f t="shared" si="8"/>
        <v>0.8259923848386117</v>
      </c>
      <c r="L90" s="73"/>
      <c r="M90" s="3">
        <f t="shared" si="9"/>
        <v>1</v>
      </c>
      <c r="N90" s="3">
        <f t="shared" si="10"/>
        <v>0.50999128077625655</v>
      </c>
      <c r="O90" s="3">
        <f t="shared" si="11"/>
        <v>0.50998467376897427</v>
      </c>
      <c r="U90" s="2">
        <f t="shared" si="35"/>
        <v>-3.3303557859594539</v>
      </c>
      <c r="V90" s="2">
        <f t="shared" si="29"/>
        <v>-68.272293612168824</v>
      </c>
      <c r="X90" s="134"/>
    </row>
    <row r="91" spans="1:24" s="134" customFormat="1" x14ac:dyDescent="0.35">
      <c r="C91" s="135"/>
      <c r="D91" s="138"/>
      <c r="E91" s="135"/>
      <c r="F91" s="135"/>
      <c r="G91" s="135"/>
      <c r="H91" s="135"/>
      <c r="I91" s="139"/>
      <c r="J91" s="135"/>
      <c r="K91" s="140"/>
      <c r="L91" s="140"/>
      <c r="M91" s="140"/>
      <c r="N91" s="140"/>
      <c r="O91" s="140"/>
      <c r="U91" s="135"/>
      <c r="V91" s="135"/>
    </row>
    <row r="92" spans="1:24" s="134" customFormat="1" x14ac:dyDescent="0.35">
      <c r="C92" s="135"/>
      <c r="D92" s="138"/>
      <c r="E92" s="135"/>
      <c r="F92" s="135"/>
      <c r="G92" s="135"/>
      <c r="H92" s="135"/>
      <c r="I92" s="139"/>
      <c r="J92" s="135"/>
      <c r="K92" s="140"/>
      <c r="L92" s="140"/>
      <c r="M92" s="140"/>
      <c r="N92" s="140"/>
      <c r="O92" s="140"/>
      <c r="U92" s="135"/>
      <c r="V92" s="135"/>
    </row>
    <row r="93" spans="1:24" s="134" customFormat="1" x14ac:dyDescent="0.35">
      <c r="C93" s="135"/>
      <c r="D93" s="138"/>
      <c r="E93" s="135"/>
      <c r="F93" s="135"/>
      <c r="G93" s="135"/>
      <c r="H93" s="135"/>
      <c r="I93" s="139"/>
      <c r="J93" s="135"/>
      <c r="K93" s="140"/>
      <c r="L93" s="140"/>
      <c r="M93" s="140"/>
      <c r="N93" s="140"/>
      <c r="O93" s="140"/>
      <c r="U93" s="135"/>
      <c r="V93" s="135"/>
    </row>
    <row r="94" spans="1:24" s="134" customFormat="1" x14ac:dyDescent="0.35">
      <c r="C94" s="135"/>
      <c r="D94" s="138"/>
      <c r="E94" s="135"/>
      <c r="F94" s="135"/>
      <c r="G94" s="135"/>
      <c r="H94" s="135"/>
      <c r="I94" s="139"/>
      <c r="J94" s="135"/>
      <c r="K94" s="140"/>
      <c r="L94" s="140"/>
      <c r="M94" s="140"/>
      <c r="N94" s="140"/>
      <c r="O94" s="140"/>
    </row>
    <row r="95" spans="1:24" s="134" customFormat="1" x14ac:dyDescent="0.35">
      <c r="C95" s="135"/>
      <c r="D95" s="138"/>
      <c r="E95" s="135"/>
      <c r="F95" s="135"/>
      <c r="G95" s="135"/>
      <c r="H95" s="135"/>
      <c r="I95" s="139"/>
      <c r="J95" s="135"/>
      <c r="K95" s="140"/>
      <c r="L95" s="140"/>
      <c r="M95" s="140"/>
      <c r="N95" s="140"/>
      <c r="O95" s="140"/>
    </row>
    <row r="96" spans="1:24" s="134" customFormat="1" x14ac:dyDescent="0.35">
      <c r="C96" s="135"/>
      <c r="D96" s="138"/>
      <c r="E96" s="135"/>
      <c r="F96" s="135"/>
      <c r="G96" s="135"/>
      <c r="H96" s="135"/>
      <c r="I96" s="139"/>
      <c r="J96" s="135"/>
      <c r="K96" s="140"/>
      <c r="L96" s="140"/>
      <c r="M96" s="140"/>
      <c r="N96" s="140"/>
      <c r="O96" s="140"/>
    </row>
    <row r="97" spans="3:15" s="134" customFormat="1" x14ac:dyDescent="0.35">
      <c r="C97" s="135"/>
      <c r="D97" s="138"/>
      <c r="E97" s="135"/>
      <c r="F97" s="135"/>
      <c r="G97" s="135"/>
      <c r="H97" s="135"/>
      <c r="I97" s="139"/>
      <c r="J97" s="135"/>
      <c r="K97" s="140"/>
      <c r="L97" s="140"/>
      <c r="M97" s="140"/>
      <c r="N97" s="140"/>
      <c r="O97" s="140"/>
    </row>
    <row r="98" spans="3:15" s="134" customFormat="1" x14ac:dyDescent="0.35">
      <c r="C98" s="135"/>
      <c r="D98" s="138"/>
      <c r="E98" s="135"/>
      <c r="F98" s="135"/>
      <c r="G98" s="135"/>
      <c r="H98" s="135"/>
      <c r="I98" s="139"/>
      <c r="J98" s="135"/>
      <c r="K98" s="140"/>
      <c r="L98" s="140"/>
      <c r="M98" s="140"/>
      <c r="N98" s="140"/>
      <c r="O98" s="140"/>
    </row>
    <row r="99" spans="3:15" s="134" customFormat="1" x14ac:dyDescent="0.35">
      <c r="C99" s="135"/>
      <c r="D99" s="138"/>
      <c r="E99" s="135"/>
      <c r="F99" s="135"/>
      <c r="G99" s="135"/>
      <c r="H99" s="135"/>
      <c r="I99" s="139"/>
      <c r="J99" s="135"/>
      <c r="K99" s="140"/>
      <c r="L99" s="140"/>
      <c r="M99" s="140"/>
      <c r="N99" s="140"/>
      <c r="O99" s="140"/>
    </row>
    <row r="100" spans="3:15" s="134" customFormat="1" x14ac:dyDescent="0.35">
      <c r="C100" s="135"/>
      <c r="D100" s="138"/>
      <c r="E100" s="135"/>
      <c r="F100" s="135"/>
      <c r="G100" s="135"/>
      <c r="H100" s="135"/>
      <c r="I100" s="139"/>
      <c r="J100" s="135"/>
      <c r="K100" s="140"/>
      <c r="L100" s="140"/>
      <c r="M100" s="140"/>
      <c r="N100" s="140"/>
      <c r="O100" s="140"/>
    </row>
    <row r="101" spans="3:15" s="134" customFormat="1" x14ac:dyDescent="0.35">
      <c r="C101" s="135"/>
      <c r="D101" s="138"/>
      <c r="E101" s="135"/>
      <c r="F101" s="135"/>
      <c r="G101" s="135"/>
      <c r="H101" s="135"/>
      <c r="I101" s="139"/>
      <c r="J101" s="135"/>
      <c r="K101" s="140"/>
      <c r="L101" s="140"/>
      <c r="M101" s="140"/>
      <c r="N101" s="140"/>
      <c r="O101" s="140"/>
    </row>
    <row r="102" spans="3:15" s="134" customFormat="1" x14ac:dyDescent="0.35">
      <c r="C102" s="135"/>
      <c r="D102" s="138"/>
      <c r="E102" s="135"/>
      <c r="F102" s="135"/>
      <c r="G102" s="135"/>
      <c r="H102" s="135"/>
      <c r="I102" s="139"/>
      <c r="J102" s="135"/>
      <c r="K102" s="140"/>
      <c r="L102" s="140"/>
      <c r="M102" s="140"/>
      <c r="N102" s="140"/>
      <c r="O102" s="140"/>
    </row>
    <row r="103" spans="3:15" s="134" customFormat="1" x14ac:dyDescent="0.35">
      <c r="C103" s="135"/>
      <c r="D103" s="138"/>
      <c r="E103" s="135"/>
      <c r="F103" s="135"/>
      <c r="G103" s="135"/>
      <c r="H103" s="135"/>
      <c r="I103" s="139"/>
      <c r="J103" s="135"/>
      <c r="K103" s="140"/>
      <c r="L103" s="140"/>
      <c r="M103" s="140"/>
      <c r="N103" s="140"/>
      <c r="O103" s="140"/>
    </row>
    <row r="104" spans="3:15" s="134" customFormat="1" x14ac:dyDescent="0.35">
      <c r="C104" s="135"/>
      <c r="D104" s="138"/>
      <c r="E104" s="135"/>
      <c r="F104" s="135"/>
      <c r="G104" s="135"/>
      <c r="H104" s="135"/>
      <c r="I104" s="139"/>
      <c r="J104" s="135"/>
      <c r="K104" s="140"/>
      <c r="L104" s="140"/>
      <c r="M104" s="140"/>
      <c r="N104" s="140"/>
      <c r="O104" s="140"/>
    </row>
    <row r="105" spans="3:15" s="134" customFormat="1" x14ac:dyDescent="0.35">
      <c r="C105" s="135"/>
      <c r="D105" s="138"/>
      <c r="E105" s="135"/>
      <c r="F105" s="135"/>
      <c r="G105" s="135"/>
      <c r="H105" s="135"/>
      <c r="I105" s="139"/>
      <c r="J105" s="135"/>
      <c r="K105" s="140"/>
      <c r="L105" s="140"/>
      <c r="M105" s="140"/>
      <c r="N105" s="140"/>
      <c r="O105" s="140"/>
    </row>
    <row r="106" spans="3:15" s="134" customFormat="1" x14ac:dyDescent="0.35">
      <c r="C106" s="135"/>
      <c r="D106" s="138"/>
      <c r="E106" s="135"/>
      <c r="F106" s="135"/>
      <c r="G106" s="135"/>
      <c r="H106" s="135"/>
      <c r="I106" s="139"/>
      <c r="J106" s="135"/>
      <c r="K106" s="140"/>
      <c r="L106" s="140"/>
      <c r="M106" s="140"/>
      <c r="N106" s="140"/>
      <c r="O106" s="140"/>
    </row>
    <row r="107" spans="3:15" s="134" customFormat="1" x14ac:dyDescent="0.35">
      <c r="C107" s="135"/>
      <c r="D107" s="138"/>
      <c r="E107" s="135"/>
      <c r="F107" s="135"/>
      <c r="G107" s="135"/>
      <c r="H107" s="135"/>
      <c r="I107" s="139"/>
      <c r="J107" s="135"/>
      <c r="K107" s="140"/>
      <c r="L107" s="140"/>
      <c r="M107" s="140"/>
      <c r="N107" s="140"/>
      <c r="O107" s="140"/>
    </row>
    <row r="108" spans="3:15" s="134" customFormat="1" x14ac:dyDescent="0.35">
      <c r="C108" s="135"/>
      <c r="D108" s="138"/>
      <c r="E108" s="135"/>
      <c r="F108" s="135"/>
      <c r="G108" s="135"/>
      <c r="H108" s="135"/>
      <c r="I108" s="139"/>
      <c r="J108" s="135"/>
      <c r="K108" s="140"/>
      <c r="L108" s="140"/>
      <c r="M108" s="140"/>
      <c r="N108" s="140"/>
      <c r="O108" s="140"/>
    </row>
    <row r="109" spans="3:15" s="134" customFormat="1" x14ac:dyDescent="0.35">
      <c r="C109" s="135"/>
      <c r="D109" s="138"/>
      <c r="E109" s="135"/>
      <c r="F109" s="135"/>
      <c r="G109" s="135"/>
      <c r="H109" s="135"/>
      <c r="I109" s="139"/>
      <c r="J109" s="135"/>
      <c r="K109" s="140"/>
      <c r="L109" s="140"/>
      <c r="M109" s="140"/>
      <c r="N109" s="140"/>
      <c r="O109" s="140"/>
    </row>
    <row r="110" spans="3:15" s="134" customFormat="1" x14ac:dyDescent="0.35">
      <c r="C110" s="135"/>
      <c r="D110" s="138"/>
      <c r="E110" s="135"/>
      <c r="F110" s="135"/>
      <c r="G110" s="135"/>
      <c r="H110" s="135"/>
      <c r="I110" s="139"/>
      <c r="J110" s="135"/>
      <c r="K110" s="140"/>
      <c r="L110" s="140"/>
      <c r="M110" s="140"/>
      <c r="N110" s="140"/>
      <c r="O110" s="140"/>
    </row>
    <row r="111" spans="3:15" s="134" customFormat="1" x14ac:dyDescent="0.35">
      <c r="C111" s="135"/>
      <c r="D111" s="138"/>
      <c r="E111" s="135"/>
      <c r="F111" s="135"/>
      <c r="G111" s="135"/>
      <c r="H111" s="135"/>
      <c r="I111" s="139"/>
      <c r="J111" s="135"/>
      <c r="K111" s="140"/>
      <c r="L111" s="140"/>
      <c r="M111" s="140"/>
      <c r="N111" s="140"/>
      <c r="O111" s="140"/>
    </row>
    <row r="112" spans="3:15" s="134" customFormat="1" x14ac:dyDescent="0.35">
      <c r="C112" s="135"/>
      <c r="D112" s="138"/>
      <c r="E112" s="135"/>
      <c r="F112" s="135"/>
      <c r="G112" s="135"/>
      <c r="H112" s="135"/>
      <c r="I112" s="139"/>
      <c r="J112" s="135"/>
      <c r="K112" s="140"/>
      <c r="L112" s="140"/>
      <c r="M112" s="140"/>
      <c r="N112" s="140"/>
      <c r="O112" s="140"/>
    </row>
    <row r="113" spans="3:15" s="134" customFormat="1" x14ac:dyDescent="0.35">
      <c r="C113" s="135"/>
      <c r="D113" s="138"/>
      <c r="E113" s="135"/>
      <c r="F113" s="135"/>
      <c r="G113" s="135"/>
      <c r="H113" s="135"/>
      <c r="I113" s="139"/>
      <c r="J113" s="135"/>
      <c r="K113" s="140"/>
      <c r="L113" s="140"/>
      <c r="M113" s="140"/>
      <c r="N113" s="140"/>
      <c r="O113" s="140"/>
    </row>
    <row r="114" spans="3:15" s="134" customFormat="1" x14ac:dyDescent="0.35">
      <c r="C114" s="135"/>
      <c r="D114" s="138"/>
      <c r="E114" s="135"/>
      <c r="F114" s="135"/>
      <c r="G114" s="135"/>
      <c r="H114" s="135"/>
      <c r="I114" s="139"/>
      <c r="J114" s="135"/>
      <c r="K114" s="140"/>
      <c r="L114" s="140"/>
      <c r="M114" s="140"/>
      <c r="N114" s="140"/>
      <c r="O114" s="140"/>
    </row>
    <row r="115" spans="3:15" s="134" customFormat="1" x14ac:dyDescent="0.35">
      <c r="C115" s="135"/>
      <c r="D115" s="138"/>
      <c r="E115" s="135"/>
      <c r="F115" s="135"/>
      <c r="G115" s="135"/>
      <c r="H115" s="135"/>
      <c r="I115" s="139"/>
      <c r="J115" s="135"/>
      <c r="K115" s="140"/>
      <c r="L115" s="140"/>
      <c r="M115" s="140"/>
      <c r="N115" s="140"/>
      <c r="O115" s="140"/>
    </row>
    <row r="116" spans="3:15" s="134" customFormat="1" x14ac:dyDescent="0.35">
      <c r="C116" s="135"/>
      <c r="D116" s="138"/>
      <c r="E116" s="135"/>
      <c r="F116" s="135"/>
      <c r="G116" s="135"/>
      <c r="H116" s="135"/>
      <c r="I116" s="139"/>
      <c r="J116" s="135"/>
      <c r="K116" s="140"/>
      <c r="L116" s="140"/>
      <c r="M116" s="140"/>
      <c r="N116" s="140"/>
      <c r="O116" s="140"/>
    </row>
    <row r="117" spans="3:15" s="134" customFormat="1" x14ac:dyDescent="0.35">
      <c r="C117" s="135"/>
      <c r="D117" s="138"/>
      <c r="E117" s="135"/>
      <c r="F117" s="135"/>
      <c r="G117" s="135"/>
      <c r="H117" s="135"/>
      <c r="I117" s="139"/>
      <c r="J117" s="135"/>
      <c r="K117" s="140"/>
      <c r="L117" s="140"/>
      <c r="M117" s="140"/>
      <c r="N117" s="140"/>
      <c r="O117" s="140"/>
    </row>
    <row r="118" spans="3:15" s="134" customFormat="1" x14ac:dyDescent="0.35">
      <c r="C118" s="135"/>
      <c r="D118" s="138"/>
      <c r="E118" s="135"/>
      <c r="F118" s="135"/>
      <c r="G118" s="135"/>
      <c r="H118" s="135"/>
      <c r="I118" s="139"/>
      <c r="J118" s="135"/>
      <c r="K118" s="140"/>
      <c r="L118" s="140"/>
      <c r="M118" s="140"/>
      <c r="N118" s="140"/>
      <c r="O118" s="140"/>
    </row>
    <row r="119" spans="3:15" s="134" customFormat="1" x14ac:dyDescent="0.35">
      <c r="C119" s="135"/>
      <c r="D119" s="138"/>
      <c r="E119" s="135"/>
      <c r="F119" s="135"/>
      <c r="G119" s="135"/>
      <c r="H119" s="135"/>
      <c r="I119" s="139"/>
      <c r="J119" s="135"/>
      <c r="K119" s="140"/>
      <c r="L119" s="140"/>
      <c r="M119" s="140"/>
      <c r="N119" s="140"/>
      <c r="O119" s="140"/>
    </row>
    <row r="120" spans="3:15" s="134" customFormat="1" x14ac:dyDescent="0.35">
      <c r="C120" s="135"/>
      <c r="D120" s="138"/>
      <c r="E120" s="135"/>
      <c r="F120" s="135"/>
      <c r="G120" s="135"/>
      <c r="H120" s="135"/>
      <c r="I120" s="139"/>
      <c r="J120" s="135"/>
      <c r="K120" s="140"/>
      <c r="L120" s="140"/>
      <c r="M120" s="140"/>
      <c r="N120" s="140"/>
      <c r="O120" s="140"/>
    </row>
    <row r="121" spans="3:15" s="134" customFormat="1" x14ac:dyDescent="0.35">
      <c r="C121" s="135"/>
      <c r="D121" s="138"/>
      <c r="E121" s="135"/>
      <c r="F121" s="135"/>
      <c r="G121" s="135"/>
      <c r="H121" s="135"/>
      <c r="I121" s="139"/>
      <c r="J121" s="135"/>
      <c r="K121" s="140"/>
      <c r="L121" s="140"/>
      <c r="M121" s="140"/>
      <c r="N121" s="140"/>
      <c r="O121" s="140"/>
    </row>
    <row r="122" spans="3:15" s="134" customFormat="1" x14ac:dyDescent="0.35">
      <c r="C122" s="135"/>
      <c r="D122" s="138"/>
      <c r="E122" s="135"/>
      <c r="F122" s="135"/>
      <c r="G122" s="135"/>
      <c r="H122" s="135"/>
      <c r="I122" s="139"/>
      <c r="J122" s="135"/>
      <c r="K122" s="140"/>
      <c r="L122" s="140"/>
      <c r="M122" s="140"/>
      <c r="N122" s="140"/>
      <c r="O122" s="140"/>
    </row>
    <row r="123" spans="3:15" s="134" customFormat="1" x14ac:dyDescent="0.35">
      <c r="C123" s="135"/>
      <c r="D123" s="138"/>
      <c r="E123" s="135"/>
      <c r="F123" s="135"/>
      <c r="G123" s="135"/>
      <c r="H123" s="135"/>
      <c r="I123" s="139"/>
      <c r="J123" s="135"/>
      <c r="K123" s="140"/>
      <c r="L123" s="140"/>
      <c r="M123" s="140"/>
      <c r="N123" s="140"/>
      <c r="O123" s="140"/>
    </row>
    <row r="124" spans="3:15" s="134" customFormat="1" x14ac:dyDescent="0.35">
      <c r="C124" s="135"/>
      <c r="D124" s="138"/>
      <c r="E124" s="135"/>
      <c r="F124" s="135"/>
      <c r="G124" s="135"/>
      <c r="H124" s="135"/>
      <c r="I124" s="139"/>
      <c r="J124" s="135"/>
      <c r="K124" s="140"/>
      <c r="L124" s="140"/>
      <c r="M124" s="140"/>
      <c r="N124" s="140"/>
      <c r="O124" s="140"/>
    </row>
    <row r="125" spans="3:15" s="134" customFormat="1" x14ac:dyDescent="0.35">
      <c r="C125" s="135"/>
      <c r="D125" s="138"/>
      <c r="E125" s="135"/>
      <c r="F125" s="135"/>
      <c r="G125" s="135"/>
      <c r="H125" s="135"/>
      <c r="I125" s="139"/>
      <c r="J125" s="135"/>
      <c r="K125" s="140"/>
      <c r="L125" s="140"/>
      <c r="M125" s="140"/>
      <c r="N125" s="140"/>
      <c r="O125" s="140"/>
    </row>
    <row r="126" spans="3:15" s="134" customFormat="1" x14ac:dyDescent="0.35">
      <c r="C126" s="135"/>
      <c r="D126" s="138"/>
      <c r="E126" s="135"/>
      <c r="F126" s="135"/>
      <c r="G126" s="135"/>
      <c r="H126" s="135"/>
      <c r="I126" s="139"/>
      <c r="J126" s="135"/>
      <c r="K126" s="140"/>
      <c r="L126" s="140"/>
      <c r="M126" s="140"/>
      <c r="N126" s="140"/>
      <c r="O126" s="140"/>
    </row>
    <row r="127" spans="3:15" s="134" customFormat="1" x14ac:dyDescent="0.35">
      <c r="C127" s="135"/>
      <c r="D127" s="138"/>
      <c r="E127" s="135"/>
      <c r="F127" s="135"/>
      <c r="G127" s="135"/>
      <c r="H127" s="135"/>
      <c r="I127" s="139"/>
      <c r="J127" s="135"/>
      <c r="K127" s="140"/>
      <c r="L127" s="140"/>
      <c r="M127" s="140"/>
      <c r="N127" s="140"/>
      <c r="O127" s="140"/>
    </row>
    <row r="128" spans="3:15" s="134" customFormat="1" x14ac:dyDescent="0.35">
      <c r="C128" s="135"/>
      <c r="D128" s="138"/>
      <c r="E128" s="135"/>
      <c r="F128" s="135"/>
      <c r="G128" s="135"/>
      <c r="H128" s="135"/>
      <c r="I128" s="139"/>
      <c r="J128" s="135"/>
      <c r="K128" s="140"/>
      <c r="L128" s="140"/>
      <c r="M128" s="140"/>
      <c r="N128" s="140"/>
      <c r="O128" s="140"/>
    </row>
    <row r="129" spans="3:15" s="134" customFormat="1" x14ac:dyDescent="0.35">
      <c r="C129" s="135"/>
      <c r="D129" s="138"/>
      <c r="E129" s="135"/>
      <c r="F129" s="135"/>
      <c r="G129" s="135"/>
      <c r="H129" s="135"/>
      <c r="I129" s="139"/>
      <c r="J129" s="135"/>
      <c r="K129" s="140"/>
      <c r="L129" s="140"/>
      <c r="M129" s="140"/>
      <c r="N129" s="140"/>
      <c r="O129" s="140"/>
    </row>
    <row r="130" spans="3:15" s="134" customFormat="1" x14ac:dyDescent="0.35">
      <c r="C130" s="135"/>
      <c r="D130" s="138"/>
      <c r="E130" s="135"/>
      <c r="F130" s="135"/>
      <c r="G130" s="135"/>
      <c r="H130" s="135"/>
      <c r="I130" s="139"/>
      <c r="J130" s="135"/>
      <c r="K130" s="140"/>
      <c r="L130" s="140"/>
      <c r="M130" s="140"/>
      <c r="N130" s="140"/>
      <c r="O130" s="140"/>
    </row>
    <row r="131" spans="3:15" s="134" customFormat="1" x14ac:dyDescent="0.35"/>
  </sheetData>
  <sheetProtection algorithmName="SHA-512" hashValue="y1qUhQG3R+ELpmWWbD5DTZGASR7+h5/ejfXuopqsaqLSUOQIbr4SWM+v+4jwbcmkP4LLHbJGBpn3ewVZBK+Jmw==" saltValue="QbMzwUa0RRxz+v39EmYa0Q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AG131"/>
  <sheetViews>
    <sheetView topLeftCell="A76" zoomScale="80" zoomScaleNormal="80" workbookViewId="0">
      <selection activeCell="G78" sqref="G78"/>
    </sheetView>
  </sheetViews>
  <sheetFormatPr defaultRowHeight="14.5" x14ac:dyDescent="0.35"/>
  <cols>
    <col min="8" max="8" width="12.7265625" customWidth="1"/>
    <col min="9" max="9" width="10.54296875" customWidth="1"/>
    <col min="11" max="15" width="10.453125" customWidth="1"/>
    <col min="17" max="17" width="9.7265625" customWidth="1"/>
    <col min="20" max="20" width="12.7265625" customWidth="1"/>
    <col min="23" max="23" width="8.81640625" customWidth="1"/>
    <col min="24" max="24" width="11.7265625" customWidth="1"/>
  </cols>
  <sheetData>
    <row r="1" spans="1:33" ht="58" x14ac:dyDescent="0.35">
      <c r="B1" s="75" t="s">
        <v>208</v>
      </c>
      <c r="C1" s="3">
        <f>InputOutput!B11</f>
        <v>0.56999999999999995</v>
      </c>
      <c r="D1" s="3">
        <f>InputOutput!C11</f>
        <v>0.4</v>
      </c>
      <c r="E1" s="3">
        <f>InputOutput!D11</f>
        <v>0.4</v>
      </c>
      <c r="L1" t="s">
        <v>225</v>
      </c>
      <c r="M1">
        <f>4*M10</f>
        <v>100</v>
      </c>
      <c r="N1">
        <f>4*N10</f>
        <v>112</v>
      </c>
      <c r="Z1" s="3">
        <f>D1</f>
        <v>0.4</v>
      </c>
      <c r="AE1" s="3">
        <f>E1</f>
        <v>0.4</v>
      </c>
    </row>
    <row r="2" spans="1:33" x14ac:dyDescent="0.35">
      <c r="C2">
        <f>(C51-C5)/9</f>
        <v>2.2778324065369482</v>
      </c>
      <c r="D2">
        <f>(D51-D5)/9</f>
        <v>2.5867694610161973E-2</v>
      </c>
      <c r="E2">
        <f>(E51-E5)/9</f>
        <v>9.8893278302360135E-4</v>
      </c>
      <c r="I2" s="134"/>
      <c r="L2" t="s">
        <v>224</v>
      </c>
      <c r="M2">
        <f>3.75*M10</f>
        <v>93.75</v>
      </c>
      <c r="N2">
        <f>3.75*N10</f>
        <v>105</v>
      </c>
      <c r="Z2">
        <f>(Z51-Z5)/9</f>
        <v>2.509742750750555E-2</v>
      </c>
      <c r="AE2">
        <f>(AE51-AE5)/9</f>
        <v>9.332513429697848E-4</v>
      </c>
    </row>
    <row r="3" spans="1:33" x14ac:dyDescent="0.35">
      <c r="C3">
        <f>C60/20</f>
        <v>0.95955056178127562</v>
      </c>
      <c r="I3" s="134"/>
      <c r="Z3" s="130">
        <f>Z48</f>
        <v>0.60557344778995981</v>
      </c>
      <c r="AE3" s="130">
        <f>AE48</f>
        <v>2.434199193708618E-2</v>
      </c>
    </row>
    <row r="4" spans="1:33" x14ac:dyDescent="0.35">
      <c r="C4" s="3">
        <f>(1-C1)</f>
        <v>0.43000000000000005</v>
      </c>
      <c r="D4" s="3">
        <f t="shared" ref="D4:E4" si="0">(1-D1)</f>
        <v>0.6</v>
      </c>
      <c r="E4" s="3">
        <f t="shared" si="0"/>
        <v>0.6</v>
      </c>
      <c r="I4" s="134"/>
      <c r="Z4" s="3">
        <f t="shared" ref="Z4" si="1">(1-Z1)</f>
        <v>0.6</v>
      </c>
      <c r="AE4" s="3">
        <f t="shared" ref="AE4" si="2">(1-AE1)</f>
        <v>0.6</v>
      </c>
    </row>
    <row r="5" spans="1:33" x14ac:dyDescent="0.35">
      <c r="A5" t="s">
        <v>0</v>
      </c>
      <c r="C5">
        <f>C48*C4</f>
        <v>18.942841585338126</v>
      </c>
      <c r="D5">
        <f>D48*D4</f>
        <v>0.37417501251587698</v>
      </c>
      <c r="E5">
        <f>E48*E4</f>
        <v>1.5388147657794117E-2</v>
      </c>
      <c r="F5">
        <f>N10</f>
        <v>28</v>
      </c>
      <c r="G5">
        <v>265</v>
      </c>
      <c r="I5" s="2"/>
      <c r="L5" t="s">
        <v>212</v>
      </c>
      <c r="M5">
        <v>0.75</v>
      </c>
      <c r="N5">
        <f>M5</f>
        <v>0.75</v>
      </c>
      <c r="Z5">
        <f>Z3*Z4</f>
        <v>0.3633440686739759</v>
      </c>
      <c r="AE5">
        <f>AE3*AE4</f>
        <v>1.4605195162251706E-2</v>
      </c>
    </row>
    <row r="6" spans="1:33" x14ac:dyDescent="0.35">
      <c r="B6" t="s">
        <v>1</v>
      </c>
      <c r="C6" t="s">
        <v>5</v>
      </c>
      <c r="D6" t="s">
        <v>5</v>
      </c>
      <c r="E6" t="s">
        <v>5</v>
      </c>
      <c r="F6" t="s">
        <v>7</v>
      </c>
      <c r="G6" t="s">
        <v>10</v>
      </c>
      <c r="L6" t="s">
        <v>213</v>
      </c>
      <c r="M6">
        <v>0.25</v>
      </c>
      <c r="N6">
        <f t="shared" ref="N6:N8" si="3">M6</f>
        <v>0.25</v>
      </c>
      <c r="Z6" s="88">
        <f>1-Z60/Z48</f>
        <v>0.39999999999999991</v>
      </c>
      <c r="AA6" s="88">
        <f>1-AA60/AA48</f>
        <v>0.50969877826891841</v>
      </c>
      <c r="AB6" s="88">
        <f>1-AB60/AB48</f>
        <v>0.40317536251009112</v>
      </c>
      <c r="AE6" s="88">
        <f>1-AE60/AE48</f>
        <v>0.3999999999999998</v>
      </c>
      <c r="AF6" s="88">
        <f t="shared" ref="AF6:AG6" si="4">1-AF60/AF48</f>
        <v>0.50969877826891841</v>
      </c>
      <c r="AG6" s="88">
        <f t="shared" si="4"/>
        <v>0.40558149909356356</v>
      </c>
    </row>
    <row r="7" spans="1:33" ht="43.5" x14ac:dyDescent="0.35">
      <c r="B7" t="s">
        <v>1</v>
      </c>
      <c r="C7" t="s">
        <v>2</v>
      </c>
      <c r="D7" t="s">
        <v>3</v>
      </c>
      <c r="E7" t="s">
        <v>4</v>
      </c>
      <c r="F7" t="str">
        <f>D7</f>
        <v>CH4</v>
      </c>
      <c r="G7" t="str">
        <f>E7</f>
        <v>N2O</v>
      </c>
      <c r="H7" t="s">
        <v>8</v>
      </c>
      <c r="J7" s="75"/>
      <c r="K7" s="75" t="s">
        <v>207</v>
      </c>
      <c r="L7" t="s">
        <v>214</v>
      </c>
      <c r="M7">
        <v>100</v>
      </c>
      <c r="N7">
        <f t="shared" si="3"/>
        <v>100</v>
      </c>
      <c r="U7" t="s">
        <v>239</v>
      </c>
      <c r="V7" t="s">
        <v>238</v>
      </c>
    </row>
    <row r="8" spans="1:33" x14ac:dyDescent="0.35">
      <c r="C8" s="2"/>
      <c r="D8" s="1"/>
      <c r="E8" s="1"/>
      <c r="F8" s="2"/>
      <c r="G8" s="2"/>
      <c r="H8" s="2"/>
      <c r="L8" t="s">
        <v>218</v>
      </c>
      <c r="M8">
        <v>20</v>
      </c>
      <c r="N8">
        <f t="shared" si="3"/>
        <v>20</v>
      </c>
    </row>
    <row r="9" spans="1:33" x14ac:dyDescent="0.35">
      <c r="C9" s="2"/>
      <c r="D9" s="1"/>
      <c r="E9" s="1"/>
      <c r="F9" s="2"/>
      <c r="G9" s="2"/>
      <c r="H9" s="2"/>
      <c r="M9" t="s">
        <v>216</v>
      </c>
      <c r="N9" s="76" t="s">
        <v>217</v>
      </c>
    </row>
    <row r="10" spans="1:33" x14ac:dyDescent="0.35">
      <c r="C10" s="2"/>
      <c r="D10" s="1"/>
      <c r="E10" s="1"/>
      <c r="F10" s="2"/>
      <c r="G10" s="2"/>
      <c r="H10" s="2"/>
      <c r="L10" t="s">
        <v>215</v>
      </c>
      <c r="M10">
        <v>25</v>
      </c>
      <c r="N10" s="76">
        <v>28</v>
      </c>
    </row>
    <row r="11" spans="1:33" x14ac:dyDescent="0.35">
      <c r="C11" s="2"/>
      <c r="D11" s="1"/>
      <c r="E11" s="1"/>
      <c r="F11" s="2"/>
      <c r="G11" s="2"/>
      <c r="H11" s="2"/>
      <c r="L11" t="s">
        <v>219</v>
      </c>
      <c r="M11">
        <f>M5*M7/M8</f>
        <v>3.75</v>
      </c>
      <c r="N11" s="76">
        <f>N5*N7/N8</f>
        <v>3.75</v>
      </c>
    </row>
    <row r="12" spans="1:33" x14ac:dyDescent="0.35">
      <c r="C12" s="2"/>
      <c r="D12" s="1"/>
      <c r="E12" s="1"/>
      <c r="F12" s="2"/>
      <c r="G12" s="2"/>
      <c r="H12" s="2"/>
      <c r="L12" t="s">
        <v>220</v>
      </c>
      <c r="M12" s="1">
        <f>D49</f>
        <v>0.60727248931136102</v>
      </c>
      <c r="N12" s="69">
        <f>M12</f>
        <v>0.60727248931136102</v>
      </c>
    </row>
    <row r="13" spans="1:33" x14ac:dyDescent="0.35">
      <c r="C13" s="2"/>
      <c r="D13" s="1"/>
      <c r="E13" s="1"/>
      <c r="F13" s="2"/>
      <c r="G13" s="2"/>
      <c r="H13" s="2"/>
      <c r="L13" t="s">
        <v>221</v>
      </c>
      <c r="M13" s="1">
        <f>D29</f>
        <v>0.60985790475145341</v>
      </c>
      <c r="N13" s="69">
        <f>M13</f>
        <v>0.60985790475145341</v>
      </c>
    </row>
    <row r="14" spans="1:33" x14ac:dyDescent="0.35">
      <c r="C14" s="2"/>
      <c r="D14" s="1"/>
      <c r="E14" s="1"/>
      <c r="F14" s="2"/>
      <c r="G14" s="2"/>
      <c r="H14" s="2"/>
      <c r="L14" s="76" t="s">
        <v>222</v>
      </c>
      <c r="M14" s="77">
        <f>(M11*(M12-M13)+M12*M6)*M10</f>
        <v>3.5530703606873453</v>
      </c>
      <c r="N14" s="77">
        <f>(N11*(N12-N13)+N12*N6)*N10</f>
        <v>3.9794388039698267</v>
      </c>
    </row>
    <row r="15" spans="1:33" x14ac:dyDescent="0.35">
      <c r="C15" s="2"/>
      <c r="D15" s="1"/>
      <c r="E15" s="1"/>
      <c r="F15" s="2"/>
      <c r="G15" s="2"/>
      <c r="H15" s="2"/>
      <c r="L15" s="76" t="s">
        <v>223</v>
      </c>
      <c r="M15" s="77">
        <f>M12*M1-M13*M2</f>
        <v>3.5530703606873431</v>
      </c>
      <c r="N15" s="77">
        <f>N12*N1-N13*N2</f>
        <v>3.9794388039698276</v>
      </c>
    </row>
    <row r="16" spans="1:33" x14ac:dyDescent="0.35">
      <c r="C16" s="2"/>
      <c r="D16" s="1"/>
      <c r="E16" s="1"/>
      <c r="F16" s="2"/>
      <c r="G16" s="2"/>
      <c r="H16" s="2"/>
    </row>
    <row r="17" spans="2:24" x14ac:dyDescent="0.35">
      <c r="C17" s="2"/>
      <c r="D17" s="1"/>
      <c r="E17" s="1"/>
      <c r="F17" s="2"/>
      <c r="G17" s="2"/>
      <c r="H17" s="2"/>
    </row>
    <row r="18" spans="2:24" x14ac:dyDescent="0.35">
      <c r="C18" s="2"/>
      <c r="D18" s="1"/>
      <c r="E18" s="1"/>
      <c r="F18" s="2"/>
      <c r="G18" s="2"/>
      <c r="H18" s="2"/>
    </row>
    <row r="19" spans="2:24" x14ac:dyDescent="0.35">
      <c r="C19" s="2"/>
      <c r="D19" s="1"/>
      <c r="E19" s="1"/>
      <c r="F19" s="2"/>
      <c r="G19" s="2"/>
      <c r="H19" s="2"/>
    </row>
    <row r="20" spans="2:24" x14ac:dyDescent="0.35">
      <c r="B20">
        <v>1990</v>
      </c>
      <c r="C20" s="68">
        <f>'CO2 1990-2019'!E80/1000</f>
        <v>37.503901917692637</v>
      </c>
      <c r="D20" s="69">
        <f>'CH4 1990-2019'!E80/1000</f>
        <v>0.56846617435307711</v>
      </c>
      <c r="E20" s="69">
        <f>'N2O 1990-2019'!E81/1000</f>
        <v>2.6227661646226468E-2</v>
      </c>
      <c r="F20" s="2">
        <f t="shared" ref="F20:G60" si="5">D20*F$5</f>
        <v>15.917052881886159</v>
      </c>
      <c r="G20" s="2">
        <f t="shared" si="5"/>
        <v>6.9503303362500137</v>
      </c>
      <c r="H20" s="2">
        <f t="shared" ref="H20:H60" si="6">SUM(F20:G20)+C20</f>
        <v>60.371285135828813</v>
      </c>
      <c r="I20" s="2"/>
      <c r="J20" s="2"/>
    </row>
    <row r="21" spans="2:24" x14ac:dyDescent="0.35">
      <c r="B21">
        <f>B20+1</f>
        <v>1991</v>
      </c>
      <c r="C21" s="68">
        <f>'CO2 1990-2019'!E81/1000</f>
        <v>38.099012193795097</v>
      </c>
      <c r="D21" s="69">
        <f>'CH4 1990-2019'!E81/1000</f>
        <v>0.57899497527056076</v>
      </c>
      <c r="E21" s="69">
        <f>'N2O 1990-2019'!E82/1000</f>
        <v>2.554114757699584E-2</v>
      </c>
      <c r="F21" s="2">
        <f t="shared" si="5"/>
        <v>16.2118593075757</v>
      </c>
      <c r="G21" s="2">
        <f t="shared" si="5"/>
        <v>6.7684041079038977</v>
      </c>
      <c r="H21" s="2">
        <f t="shared" si="6"/>
        <v>61.079275609274696</v>
      </c>
      <c r="I21" s="2"/>
      <c r="J21" s="2"/>
    </row>
    <row r="22" spans="2:24" x14ac:dyDescent="0.35">
      <c r="B22">
        <f t="shared" ref="B22:B85" si="7">B21+1</f>
        <v>1992</v>
      </c>
      <c r="C22" s="68">
        <f>'CO2 1990-2019'!E82/1000</f>
        <v>37.716183401651868</v>
      </c>
      <c r="D22" s="69">
        <f>'CH4 1990-2019'!E82/1000</f>
        <v>0.58638316837148285</v>
      </c>
      <c r="E22" s="69">
        <f>'N2O 1990-2019'!E83/1000</f>
        <v>2.5204417941327273E-2</v>
      </c>
      <c r="F22" s="2">
        <f t="shared" si="5"/>
        <v>16.418728714401521</v>
      </c>
      <c r="G22" s="2">
        <f t="shared" si="5"/>
        <v>6.6791707544517269</v>
      </c>
      <c r="H22" s="2">
        <f t="shared" si="6"/>
        <v>60.814082870505118</v>
      </c>
      <c r="I22" s="2"/>
      <c r="J22" s="2"/>
    </row>
    <row r="23" spans="2:24" x14ac:dyDescent="0.35">
      <c r="B23">
        <f t="shared" si="7"/>
        <v>1993</v>
      </c>
      <c r="C23" s="68">
        <f>'CO2 1990-2019'!E83/1000</f>
        <v>37.813894147276059</v>
      </c>
      <c r="D23" s="69">
        <f>'CH4 1990-2019'!E83/1000</f>
        <v>0.59483377727766906</v>
      </c>
      <c r="E23" s="69">
        <f>'N2O 1990-2019'!E84/1000</f>
        <v>2.5697521605793531E-2</v>
      </c>
      <c r="F23" s="2">
        <f t="shared" si="5"/>
        <v>16.655345763774733</v>
      </c>
      <c r="G23" s="2">
        <f t="shared" si="5"/>
        <v>6.8098432255352854</v>
      </c>
      <c r="H23" s="2">
        <f t="shared" si="6"/>
        <v>61.279083136586081</v>
      </c>
      <c r="I23" s="2"/>
      <c r="J23" s="2"/>
    </row>
    <row r="24" spans="2:24" x14ac:dyDescent="0.35">
      <c r="B24">
        <f t="shared" si="7"/>
        <v>1994</v>
      </c>
      <c r="C24" s="68">
        <f>'CO2 1990-2019'!E84/1000</f>
        <v>39.097461645272396</v>
      </c>
      <c r="D24" s="69">
        <f>'CH4 1990-2019'!E84/1000</f>
        <v>0.59526602098909942</v>
      </c>
      <c r="E24" s="69">
        <f>'N2O 1990-2019'!E85/1000</f>
        <v>2.6660195601452181E-2</v>
      </c>
      <c r="F24" s="2">
        <f t="shared" si="5"/>
        <v>16.667448587694786</v>
      </c>
      <c r="G24" s="2">
        <f t="shared" si="5"/>
        <v>7.0649518343848277</v>
      </c>
      <c r="H24" s="2">
        <f t="shared" si="6"/>
        <v>62.829862067352011</v>
      </c>
      <c r="I24" s="2"/>
      <c r="J24" s="2"/>
    </row>
    <row r="25" spans="2:24" x14ac:dyDescent="0.35">
      <c r="B25">
        <f t="shared" si="7"/>
        <v>1995</v>
      </c>
      <c r="C25" s="68">
        <f>'CO2 1990-2019'!E85/1000</f>
        <v>41.117756580617204</v>
      </c>
      <c r="D25" s="69">
        <f>'CH4 1990-2019'!E85/1000</f>
        <v>0.60059169683666336</v>
      </c>
      <c r="E25" s="69">
        <f>'N2O 1990-2019'!E86/1000</f>
        <v>2.7848538989904151E-2</v>
      </c>
      <c r="F25" s="2">
        <f t="shared" si="5"/>
        <v>16.816567511426573</v>
      </c>
      <c r="G25" s="2">
        <f t="shared" si="5"/>
        <v>7.3798628323245996</v>
      </c>
      <c r="H25" s="2">
        <f t="shared" si="6"/>
        <v>65.314186924368386</v>
      </c>
      <c r="I25" s="2"/>
      <c r="J25" s="2"/>
    </row>
    <row r="26" spans="2:24" x14ac:dyDescent="0.35">
      <c r="B26">
        <f t="shared" si="7"/>
        <v>1996</v>
      </c>
      <c r="C26" s="68">
        <f>'CO2 1990-2019'!E86/1000</f>
        <v>42.401848154429679</v>
      </c>
      <c r="D26" s="69">
        <f>'CH4 1990-2019'!E86/1000</f>
        <v>0.61511089079967096</v>
      </c>
      <c r="E26" s="69">
        <f>'N2O 1990-2019'!E87/1000</f>
        <v>2.8242940550096497E-2</v>
      </c>
      <c r="F26" s="2">
        <f t="shared" si="5"/>
        <v>17.223104942390787</v>
      </c>
      <c r="G26" s="2">
        <f t="shared" si="5"/>
        <v>7.484379245775572</v>
      </c>
      <c r="H26" s="2">
        <f t="shared" si="6"/>
        <v>67.109332342596034</v>
      </c>
      <c r="I26" s="2"/>
      <c r="J26" s="2"/>
    </row>
    <row r="27" spans="2:24" x14ac:dyDescent="0.35">
      <c r="B27">
        <f t="shared" si="7"/>
        <v>1997</v>
      </c>
      <c r="C27" s="68">
        <f>'CO2 1990-2019'!E87/1000</f>
        <v>43.245116683187582</v>
      </c>
      <c r="D27" s="69">
        <f>'CH4 1990-2019'!E87/1000</f>
        <v>0.61488733682276098</v>
      </c>
      <c r="E27" s="69">
        <f>'N2O 1990-2019'!E88/1000</f>
        <v>2.7991006485181408E-2</v>
      </c>
      <c r="F27" s="2">
        <f t="shared" si="5"/>
        <v>17.216845431037306</v>
      </c>
      <c r="G27" s="2">
        <f t="shared" si="5"/>
        <v>7.4176167185730728</v>
      </c>
      <c r="H27" s="2">
        <f t="shared" si="6"/>
        <v>67.879578832797961</v>
      </c>
      <c r="I27" s="2"/>
      <c r="J27" s="2"/>
    </row>
    <row r="28" spans="2:24" x14ac:dyDescent="0.35">
      <c r="B28">
        <f t="shared" si="7"/>
        <v>1998</v>
      </c>
      <c r="C28" s="68">
        <f>'CO2 1990-2019'!E88/1000</f>
        <v>44.87012369632712</v>
      </c>
      <c r="D28" s="69">
        <f>'CH4 1990-2019'!E88/1000</f>
        <v>0.62689098869315008</v>
      </c>
      <c r="E28" s="69">
        <f>'N2O 1990-2019'!E89/1000</f>
        <v>2.9429943506676829E-2</v>
      </c>
      <c r="F28" s="2">
        <f t="shared" si="5"/>
        <v>17.552947683408203</v>
      </c>
      <c r="G28" s="2">
        <f t="shared" si="5"/>
        <v>7.7989350292693596</v>
      </c>
      <c r="H28" s="2">
        <f t="shared" si="6"/>
        <v>70.222006409004678</v>
      </c>
      <c r="I28" s="2"/>
      <c r="J28" s="2"/>
    </row>
    <row r="29" spans="2:24" x14ac:dyDescent="0.35">
      <c r="B29">
        <f t="shared" si="7"/>
        <v>1999</v>
      </c>
      <c r="C29" s="68">
        <f>'CO2 1990-2019'!E89/1000</f>
        <v>46.906820617827236</v>
      </c>
      <c r="D29" s="69">
        <f>'CH4 1990-2019'!E89/1000</f>
        <v>0.60985790475145341</v>
      </c>
      <c r="E29" s="69">
        <f>'N2O 1990-2019'!E90/1000</f>
        <v>2.8645206014373741E-2</v>
      </c>
      <c r="F29" s="2">
        <f t="shared" si="5"/>
        <v>17.076021333040696</v>
      </c>
      <c r="G29" s="2">
        <f t="shared" si="5"/>
        <v>7.5909795938090419</v>
      </c>
      <c r="H29" s="2">
        <f t="shared" si="6"/>
        <v>71.573821544676974</v>
      </c>
      <c r="I29" s="2"/>
      <c r="J29" s="2"/>
    </row>
    <row r="30" spans="2:24" x14ac:dyDescent="0.35">
      <c r="B30">
        <f t="shared" si="7"/>
        <v>2000</v>
      </c>
      <c r="C30" s="68">
        <f>'CO2 1990-2019'!E90/1000</f>
        <v>51.264446064409647</v>
      </c>
      <c r="D30" s="69">
        <f>'CH4 1990-2019'!E90/1000</f>
        <v>0.59281659514673379</v>
      </c>
      <c r="E30" s="69">
        <f>'N2O 1990-2019'!E91/1000</f>
        <v>2.7713149439546961E-2</v>
      </c>
      <c r="F30" s="2">
        <f t="shared" si="5"/>
        <v>16.598864664108547</v>
      </c>
      <c r="G30" s="2">
        <f>E30*G$5</f>
        <v>7.3439846014799448</v>
      </c>
      <c r="H30" s="2">
        <f t="shared" si="6"/>
        <v>75.207295329998146</v>
      </c>
      <c r="I30" s="2"/>
      <c r="J30" s="2"/>
      <c r="W30" s="134"/>
      <c r="X30" s="134"/>
    </row>
    <row r="31" spans="2:24" x14ac:dyDescent="0.35">
      <c r="B31">
        <f t="shared" si="7"/>
        <v>2001</v>
      </c>
      <c r="C31" s="68">
        <f>'CO2 1990-2019'!E91/1000</f>
        <v>54.663990010623849</v>
      </c>
      <c r="D31" s="69">
        <f>'CH4 1990-2019'!E91/1000</f>
        <v>0.60653930034350212</v>
      </c>
      <c r="E31" s="69">
        <f>'N2O 1990-2019'!E92/1000</f>
        <v>2.6361520111669961E-2</v>
      </c>
      <c r="F31" s="2">
        <f t="shared" si="5"/>
        <v>16.983100409618061</v>
      </c>
      <c r="G31" s="2">
        <f t="shared" si="5"/>
        <v>6.9858028295925401</v>
      </c>
      <c r="H31" s="2">
        <f t="shared" si="6"/>
        <v>78.632893249834453</v>
      </c>
      <c r="I31" s="2"/>
      <c r="J31" s="2"/>
      <c r="W31" s="134"/>
      <c r="X31" s="134"/>
    </row>
    <row r="32" spans="2:24" x14ac:dyDescent="0.35">
      <c r="B32">
        <f t="shared" si="7"/>
        <v>2002</v>
      </c>
      <c r="C32" s="68">
        <f>'CO2 1990-2019'!E92/1000</f>
        <v>53.050683185293025</v>
      </c>
      <c r="D32" s="69">
        <f>'CH4 1990-2019'!E92/1000</f>
        <v>0.59584131612224078</v>
      </c>
      <c r="E32" s="69">
        <f>'N2O 1990-2019'!E93/1000</f>
        <v>2.5205268301960501E-2</v>
      </c>
      <c r="F32" s="2">
        <f t="shared" si="5"/>
        <v>16.683556851422743</v>
      </c>
      <c r="G32" s="2">
        <f t="shared" si="5"/>
        <v>6.6793961000195328</v>
      </c>
      <c r="H32" s="2">
        <f t="shared" si="6"/>
        <v>76.413636136735306</v>
      </c>
      <c r="I32" s="2"/>
      <c r="J32" s="2"/>
      <c r="W32" s="134"/>
      <c r="X32" s="134"/>
    </row>
    <row r="33" spans="2:33" x14ac:dyDescent="0.35">
      <c r="B33">
        <f t="shared" si="7"/>
        <v>2003</v>
      </c>
      <c r="C33" s="68">
        <f>'CO2 1990-2019'!E93/1000</f>
        <v>52.911204011821269</v>
      </c>
      <c r="D33" s="69">
        <f>'CH4 1990-2019'!E93/1000</f>
        <v>0.6315771849487738</v>
      </c>
      <c r="E33" s="69">
        <f>'N2O 1990-2019'!E94/1000</f>
        <v>2.5051707160096713E-2</v>
      </c>
      <c r="F33" s="2">
        <f t="shared" si="5"/>
        <v>17.684161178565667</v>
      </c>
      <c r="G33" s="2">
        <f t="shared" si="5"/>
        <v>6.6387023974256287</v>
      </c>
      <c r="H33" s="2">
        <f t="shared" si="6"/>
        <v>77.234067587812561</v>
      </c>
      <c r="I33" s="2"/>
      <c r="J33" s="2"/>
      <c r="W33" s="134"/>
      <c r="X33" s="134"/>
    </row>
    <row r="34" spans="2:33" x14ac:dyDescent="0.35">
      <c r="B34">
        <f t="shared" si="7"/>
        <v>2004</v>
      </c>
      <c r="C34" s="68">
        <f>'CO2 1990-2019'!E94/1000</f>
        <v>51.897755100973896</v>
      </c>
      <c r="D34" s="69">
        <f>'CH4 1990-2019'!E94/1000</f>
        <v>0.58670195261344882</v>
      </c>
      <c r="E34" s="69">
        <f>'N2O 1990-2019'!E95/1000</f>
        <v>2.4462801837163501E-2</v>
      </c>
      <c r="F34" s="2">
        <f t="shared" si="5"/>
        <v>16.427654673176566</v>
      </c>
      <c r="G34" s="2">
        <f t="shared" si="5"/>
        <v>6.4826424868483281</v>
      </c>
      <c r="H34" s="2">
        <f t="shared" si="6"/>
        <v>74.808052260998792</v>
      </c>
      <c r="I34" s="2"/>
      <c r="J34" s="2"/>
      <c r="W34" s="134"/>
      <c r="X34" s="134"/>
    </row>
    <row r="35" spans="2:33" x14ac:dyDescent="0.35">
      <c r="B35">
        <f t="shared" si="7"/>
        <v>2005</v>
      </c>
      <c r="C35" s="68">
        <f>'CO2 1990-2019'!E95/1000</f>
        <v>54.59560870610084</v>
      </c>
      <c r="D35" s="69">
        <f>'CH4 1990-2019'!E95/1000</f>
        <v>0.57896199008081672</v>
      </c>
      <c r="E35" s="69">
        <f>'N2O 1990-2019'!E96/1000</f>
        <v>2.4090144176706841E-2</v>
      </c>
      <c r="F35" s="2">
        <f t="shared" si="5"/>
        <v>16.210935722262867</v>
      </c>
      <c r="G35" s="2">
        <f t="shared" si="5"/>
        <v>6.3838882068273133</v>
      </c>
      <c r="H35" s="2">
        <f t="shared" si="6"/>
        <v>77.19043263519103</v>
      </c>
      <c r="I35" s="2"/>
      <c r="J35" s="2"/>
      <c r="W35" s="134"/>
      <c r="X35" s="134"/>
    </row>
    <row r="36" spans="2:33" x14ac:dyDescent="0.35">
      <c r="B36">
        <f t="shared" si="7"/>
        <v>2006</v>
      </c>
      <c r="C36" s="68">
        <f>'CO2 1990-2019'!E96/1000</f>
        <v>54.461539202046147</v>
      </c>
      <c r="D36" s="69">
        <f>'CH4 1990-2019'!E96/1000</f>
        <v>0.58365900940295345</v>
      </c>
      <c r="E36" s="69">
        <f>'N2O 1990-2019'!E97/1000</f>
        <v>2.3416369558615369E-2</v>
      </c>
      <c r="F36" s="2">
        <f t="shared" si="5"/>
        <v>16.342452263282695</v>
      </c>
      <c r="G36" s="2">
        <f t="shared" si="5"/>
        <v>6.2053379330330731</v>
      </c>
      <c r="H36" s="2">
        <f t="shared" si="6"/>
        <v>77.009329398361913</v>
      </c>
      <c r="I36" s="2"/>
      <c r="J36" s="2"/>
      <c r="W36" s="134"/>
      <c r="X36" s="134"/>
    </row>
    <row r="37" spans="2:33" x14ac:dyDescent="0.35">
      <c r="B37">
        <f t="shared" si="7"/>
        <v>2007</v>
      </c>
      <c r="C37" s="68">
        <f>'CO2 1990-2019'!E97/1000</f>
        <v>53.746045769965306</v>
      </c>
      <c r="D37" s="69">
        <f>'CH4 1990-2019'!E97/1000</f>
        <v>0.54949163157015002</v>
      </c>
      <c r="E37" s="69">
        <f>'N2O 1990-2019'!E98/1000</f>
        <v>2.2587866931128592E-2</v>
      </c>
      <c r="F37" s="2">
        <f t="shared" si="5"/>
        <v>15.3857656839642</v>
      </c>
      <c r="G37" s="2">
        <f t="shared" si="5"/>
        <v>5.9857847367490766</v>
      </c>
      <c r="H37" s="2">
        <f t="shared" si="6"/>
        <v>75.117596190678583</v>
      </c>
      <c r="I37" s="2"/>
      <c r="J37" s="2"/>
      <c r="W37" s="134"/>
      <c r="X37" s="134"/>
    </row>
    <row r="38" spans="2:33" x14ac:dyDescent="0.35">
      <c r="B38">
        <f t="shared" si="7"/>
        <v>2008</v>
      </c>
      <c r="C38" s="68">
        <f>'CO2 1990-2019'!E98/1000</f>
        <v>52.68158170157681</v>
      </c>
      <c r="D38" s="69">
        <f>'CH4 1990-2019'!E98/1000</f>
        <v>0.54327868568762094</v>
      </c>
      <c r="E38" s="69">
        <f>'N2O 1990-2019'!E99/1000</f>
        <v>2.252824456889773E-2</v>
      </c>
      <c r="F38" s="2">
        <f t="shared" si="5"/>
        <v>15.211803199253387</v>
      </c>
      <c r="G38" s="2">
        <f t="shared" si="5"/>
        <v>5.9699848107578983</v>
      </c>
      <c r="H38" s="2">
        <f t="shared" si="6"/>
        <v>73.863369711588092</v>
      </c>
      <c r="I38" s="2"/>
      <c r="J38" s="2"/>
      <c r="W38" s="134"/>
      <c r="X38" s="134"/>
    </row>
    <row r="39" spans="2:33" x14ac:dyDescent="0.35">
      <c r="B39">
        <f t="shared" si="7"/>
        <v>2009</v>
      </c>
      <c r="C39" s="68">
        <f>'CO2 1990-2019'!E99/1000</f>
        <v>47.163320009204178</v>
      </c>
      <c r="D39" s="69">
        <f>'CH4 1990-2019'!E99/1000</f>
        <v>0.52849395261365861</v>
      </c>
      <c r="E39" s="69">
        <f>'N2O 1990-2019'!E100/1000</f>
        <v>2.1984221435495593E-2</v>
      </c>
      <c r="F39" s="2">
        <f t="shared" si="5"/>
        <v>14.797830673182441</v>
      </c>
      <c r="G39" s="2">
        <f t="shared" si="5"/>
        <v>5.8258186804063321</v>
      </c>
      <c r="H39" s="2">
        <f t="shared" si="6"/>
        <v>67.786969362792945</v>
      </c>
      <c r="I39" s="2"/>
      <c r="J39" s="2"/>
      <c r="W39" s="134"/>
      <c r="X39" s="134"/>
    </row>
    <row r="40" spans="2:33" x14ac:dyDescent="0.35">
      <c r="B40">
        <f t="shared" si="7"/>
        <v>2010</v>
      </c>
      <c r="C40" s="68">
        <f>'CO2 1990-2019'!E100/1000</f>
        <v>48.004538579802293</v>
      </c>
      <c r="D40" s="69">
        <f>'CH4 1990-2019'!E100/1000</f>
        <v>0.53088913019285489</v>
      </c>
      <c r="E40" s="69">
        <f>'N2O 1990-2019'!E101/1000</f>
        <v>2.3205006831574712E-2</v>
      </c>
      <c r="F40" s="2">
        <f t="shared" si="5"/>
        <v>14.864895645399937</v>
      </c>
      <c r="G40" s="2">
        <f t="shared" si="5"/>
        <v>6.1493268103672989</v>
      </c>
      <c r="H40" s="2">
        <f t="shared" si="6"/>
        <v>69.018761035569526</v>
      </c>
      <c r="I40" s="2"/>
      <c r="J40" s="2"/>
      <c r="W40" s="134"/>
      <c r="X40" s="134"/>
    </row>
    <row r="41" spans="2:33" x14ac:dyDescent="0.35">
      <c r="B41">
        <f t="shared" si="7"/>
        <v>2011</v>
      </c>
      <c r="C41" s="68">
        <f>'CO2 1990-2019'!E101/1000</f>
        <v>43.82620233701207</v>
      </c>
      <c r="D41" s="69">
        <f>'CH4 1990-2019'!E101/1000</f>
        <v>0.52067847685625956</v>
      </c>
      <c r="E41" s="69">
        <f>'N2O 1990-2019'!E102/1000</f>
        <v>2.1596923732384501E-2</v>
      </c>
      <c r="F41" s="2">
        <f t="shared" si="5"/>
        <v>14.578997351975268</v>
      </c>
      <c r="G41" s="2">
        <f t="shared" si="5"/>
        <v>5.723184789081893</v>
      </c>
      <c r="H41" s="2">
        <f t="shared" si="6"/>
        <v>64.128384478069222</v>
      </c>
      <c r="I41" s="2"/>
      <c r="J41" s="2"/>
      <c r="W41" s="134"/>
      <c r="X41" s="134"/>
    </row>
    <row r="42" spans="2:33" x14ac:dyDescent="0.35">
      <c r="B42">
        <f t="shared" si="7"/>
        <v>2012</v>
      </c>
      <c r="C42" s="68">
        <f>'CO2 1990-2019'!E102/1000</f>
        <v>43.046736237018365</v>
      </c>
      <c r="D42" s="69">
        <f>'CH4 1990-2019'!E102/1000</f>
        <v>0.54122860081163016</v>
      </c>
      <c r="E42" s="69">
        <f>'N2O 1990-2019'!E103/1000</f>
        <v>2.2350835962576289E-2</v>
      </c>
      <c r="F42" s="2">
        <f t="shared" si="5"/>
        <v>15.154400822725645</v>
      </c>
      <c r="G42" s="2">
        <f t="shared" si="5"/>
        <v>5.9229715300827168</v>
      </c>
      <c r="H42" s="2">
        <f t="shared" si="6"/>
        <v>64.124108589826733</v>
      </c>
      <c r="I42" s="2"/>
      <c r="J42" s="2"/>
      <c r="W42" s="141"/>
      <c r="X42" s="134"/>
    </row>
    <row r="43" spans="2:33" x14ac:dyDescent="0.35">
      <c r="B43">
        <f t="shared" si="7"/>
        <v>2013</v>
      </c>
      <c r="C43" s="68">
        <f>'CO2 1990-2019'!E103/1000</f>
        <v>42.143034779693046</v>
      </c>
      <c r="D43" s="69">
        <f>'CH4 1990-2019'!E103/1000</f>
        <v>0.55563293823158555</v>
      </c>
      <c r="E43" s="69">
        <f>'N2O 1990-2019'!E104/1000</f>
        <v>2.3861676615019551E-2</v>
      </c>
      <c r="F43" s="2">
        <f t="shared" si="5"/>
        <v>15.557722270484396</v>
      </c>
      <c r="G43" s="2">
        <f t="shared" si="5"/>
        <v>6.323344302980181</v>
      </c>
      <c r="H43" s="2">
        <f t="shared" si="6"/>
        <v>64.024101353157619</v>
      </c>
      <c r="I43" s="2"/>
      <c r="J43" s="2"/>
      <c r="W43" s="134"/>
      <c r="X43" s="135"/>
    </row>
    <row r="44" spans="2:33" x14ac:dyDescent="0.35">
      <c r="B44">
        <f t="shared" si="7"/>
        <v>2014</v>
      </c>
      <c r="C44" s="68">
        <f>'CO2 1990-2019'!E104/1000</f>
        <v>43.002058721298987</v>
      </c>
      <c r="D44" s="69">
        <f>'CH4 1990-2019'!E104/1000</f>
        <v>0.56469371673730473</v>
      </c>
      <c r="E44" s="69">
        <f>'N2O 1990-2019'!E105/1000</f>
        <v>2.3087068532383508E-2</v>
      </c>
      <c r="F44" s="2">
        <f t="shared" si="5"/>
        <v>15.811424068644532</v>
      </c>
      <c r="G44" s="2">
        <f t="shared" si="5"/>
        <v>6.1180731610816297</v>
      </c>
      <c r="H44" s="2">
        <f t="shared" si="6"/>
        <v>64.931555951025146</v>
      </c>
      <c r="I44" s="2"/>
      <c r="J44" s="2"/>
      <c r="W44" s="134"/>
      <c r="X44" s="135"/>
    </row>
    <row r="45" spans="2:33" x14ac:dyDescent="0.35">
      <c r="B45">
        <f t="shared" si="7"/>
        <v>2015</v>
      </c>
      <c r="C45" s="68">
        <f>'CO2 1990-2019'!E105/1000</f>
        <v>44.636500221951238</v>
      </c>
      <c r="D45" s="69">
        <f>'CH4 1990-2019'!E105/1000</f>
        <v>0.57912274054536717</v>
      </c>
      <c r="E45" s="69">
        <f>'N2O 1990-2019'!E106/1000</f>
        <v>2.3139800195035771E-2</v>
      </c>
      <c r="F45" s="2">
        <f t="shared" si="5"/>
        <v>16.215436735270281</v>
      </c>
      <c r="G45" s="2">
        <f t="shared" si="5"/>
        <v>6.1320470516844789</v>
      </c>
      <c r="H45" s="2">
        <f t="shared" si="6"/>
        <v>66.983984008905992</v>
      </c>
      <c r="I45" s="2"/>
      <c r="J45" s="2"/>
      <c r="W45" s="134"/>
      <c r="X45" s="135"/>
    </row>
    <row r="46" spans="2:33" x14ac:dyDescent="0.35">
      <c r="B46">
        <f t="shared" si="7"/>
        <v>2016</v>
      </c>
      <c r="C46" s="68">
        <f>'CO2 1990-2019'!E106/1000</f>
        <v>45.653374656401347</v>
      </c>
      <c r="D46" s="69">
        <f>'CH4 1990-2019'!E106/1000</f>
        <v>0.59326897730059025</v>
      </c>
      <c r="E46" s="69">
        <f>'N2O 1990-2019'!E107/1000</f>
        <v>2.3402918953505311E-2</v>
      </c>
      <c r="F46" s="2">
        <f t="shared" si="5"/>
        <v>16.611531364416528</v>
      </c>
      <c r="G46" s="2">
        <f t="shared" si="5"/>
        <v>6.2017735226789075</v>
      </c>
      <c r="H46" s="2">
        <f t="shared" si="6"/>
        <v>68.466679543496781</v>
      </c>
      <c r="I46" s="2"/>
      <c r="J46" s="2"/>
      <c r="W46" s="134"/>
      <c r="X46" s="135"/>
    </row>
    <row r="47" spans="2:33" ht="43.5" x14ac:dyDescent="0.35">
      <c r="B47">
        <f t="shared" si="7"/>
        <v>2017</v>
      </c>
      <c r="C47" s="68">
        <f>'CO2 1990-2019'!E107/1000</f>
        <v>45.728105317317954</v>
      </c>
      <c r="D47" s="69">
        <f>'CH4 1990-2019'!E107/1000</f>
        <v>0.62003341514735055</v>
      </c>
      <c r="E47" s="69">
        <f>'N2O 1990-2019'!E108/1000</f>
        <v>2.4736923302581051E-2</v>
      </c>
      <c r="F47" s="2">
        <f t="shared" si="5"/>
        <v>17.360935624125815</v>
      </c>
      <c r="G47" s="2">
        <f t="shared" si="5"/>
        <v>6.5552846751839784</v>
      </c>
      <c r="H47" s="2">
        <f t="shared" si="6"/>
        <v>69.644325616627754</v>
      </c>
      <c r="I47" s="2"/>
      <c r="J47" s="2"/>
      <c r="K47" s="75" t="str">
        <f>K7</f>
        <v>% reduction GWP100</v>
      </c>
      <c r="L47" s="75"/>
      <c r="M47" s="75" t="s">
        <v>209</v>
      </c>
      <c r="N47" s="75" t="s">
        <v>210</v>
      </c>
      <c r="O47" s="75" t="s">
        <v>211</v>
      </c>
      <c r="W47" s="134"/>
      <c r="X47" s="134"/>
      <c r="Y47" t="s">
        <v>1</v>
      </c>
      <c r="Z47" t="s">
        <v>335</v>
      </c>
      <c r="AA47" t="s">
        <v>279</v>
      </c>
      <c r="AB47" t="s">
        <v>336</v>
      </c>
      <c r="AE47" t="s">
        <v>337</v>
      </c>
      <c r="AF47" t="s">
        <v>279</v>
      </c>
      <c r="AG47" t="s">
        <v>338</v>
      </c>
    </row>
    <row r="48" spans="2:33" x14ac:dyDescent="0.35">
      <c r="B48">
        <f t="shared" si="7"/>
        <v>2018</v>
      </c>
      <c r="C48" s="70">
        <f>TIM_Output!AH14/1000</f>
        <v>44.05311996590261</v>
      </c>
      <c r="D48" s="70">
        <f>AB48</f>
        <v>0.62362502085979499</v>
      </c>
      <c r="E48" s="71">
        <f>AG48</f>
        <v>2.5646912762990196E-2</v>
      </c>
      <c r="F48" s="70">
        <f t="shared" si="5"/>
        <v>17.461500584074258</v>
      </c>
      <c r="G48" s="70">
        <f t="shared" si="5"/>
        <v>6.7964318821924019</v>
      </c>
      <c r="H48" s="70">
        <f>SUM(F48:G48)+C48</f>
        <v>68.311052432169276</v>
      </c>
      <c r="I48" s="70"/>
      <c r="J48" s="70"/>
      <c r="K48" s="74">
        <f t="shared" ref="K48:K90" si="8">1-H48/H$48</f>
        <v>0</v>
      </c>
      <c r="L48" s="73"/>
      <c r="M48" s="3">
        <f>1-C48/C$48</f>
        <v>0</v>
      </c>
      <c r="N48" s="3">
        <f>1-D48/D$48</f>
        <v>0</v>
      </c>
      <c r="O48" s="3">
        <f>1-E48/E$48</f>
        <v>0</v>
      </c>
      <c r="W48" s="134"/>
      <c r="X48" s="134"/>
      <c r="Y48">
        <f t="shared" ref="Y48:Y60" si="9">B48</f>
        <v>2018</v>
      </c>
      <c r="Z48" s="130">
        <f>'CH4 1990-2019'!D108/1000</f>
        <v>0.60557344778995981</v>
      </c>
      <c r="AA48" s="130">
        <f>'LULUCF Models'!S2/1000</f>
        <v>1.8051573069835136E-2</v>
      </c>
      <c r="AB48" s="130">
        <f>SUM(Z48:AA48)</f>
        <v>0.62362502085979499</v>
      </c>
      <c r="AE48">
        <f>'N2O 1990-2019'!D109/1000</f>
        <v>2.434199193708618E-2</v>
      </c>
      <c r="AF48">
        <f>'LULUCF Models'!T2/1000</f>
        <v>1.3049208259040157E-3</v>
      </c>
      <c r="AG48">
        <f>SUM(AE48:AF48)</f>
        <v>2.5646912762990196E-2</v>
      </c>
    </row>
    <row r="49" spans="1:33" x14ac:dyDescent="0.35">
      <c r="A49">
        <f>A50/D50</f>
        <v>27.102547108203709</v>
      </c>
      <c r="B49">
        <f t="shared" si="7"/>
        <v>2019</v>
      </c>
      <c r="C49" s="69">
        <f>TIM_Output!AH15/1000</f>
        <v>42.847003375390081</v>
      </c>
      <c r="D49" s="80">
        <f t="shared" ref="D49:D60" si="10">AB49</f>
        <v>0.60727248931136102</v>
      </c>
      <c r="E49" s="80">
        <f t="shared" ref="E49:E60" si="11">AG49</f>
        <v>2.4309378074883786E-2</v>
      </c>
      <c r="F49" s="2">
        <f>D49*F$5</f>
        <v>17.003629700718108</v>
      </c>
      <c r="G49" s="2">
        <f>E49*G$5</f>
        <v>6.4419851898442033</v>
      </c>
      <c r="H49" s="2">
        <f>SUM(F49:G49)+C49</f>
        <v>66.292618265952399</v>
      </c>
      <c r="I49" s="2"/>
      <c r="J49" s="2"/>
      <c r="K49" s="74">
        <f t="shared" si="8"/>
        <v>2.9547695348730252E-2</v>
      </c>
      <c r="L49" s="73"/>
      <c r="M49" s="3">
        <f t="shared" ref="M49:M90" si="12">1-C49/C$48</f>
        <v>2.7378687172351701E-2</v>
      </c>
      <c r="N49" s="3">
        <f t="shared" ref="N49:N80" si="13">1-D49/D$48</f>
        <v>2.6221737424660496E-2</v>
      </c>
      <c r="O49" s="3">
        <f t="shared" ref="O49:O80" si="14">1-E49/E$48</f>
        <v>5.215187888175532E-2</v>
      </c>
      <c r="W49" s="134"/>
      <c r="X49" s="134"/>
      <c r="Y49">
        <f t="shared" si="9"/>
        <v>2019</v>
      </c>
      <c r="Z49" s="130">
        <f>'CH4 1990-2019'!D109/1000</f>
        <v>0.58922091624152584</v>
      </c>
      <c r="AA49" s="130">
        <f>'LULUCF Models'!S3/1000</f>
        <v>1.8051573069835136E-2</v>
      </c>
      <c r="AB49" s="130">
        <f>SUM(Z49:AA49)</f>
        <v>0.60727248931136102</v>
      </c>
      <c r="AE49">
        <f>'N2O 1990-2019'!D110/1000</f>
        <v>2.300445724897977E-2</v>
      </c>
      <c r="AF49">
        <f>'LULUCF Models'!T3/1000</f>
        <v>1.3049208259040157E-3</v>
      </c>
      <c r="AG49">
        <f>SUM(AE49:AF49)</f>
        <v>2.4309378074883786E-2</v>
      </c>
    </row>
    <row r="50" spans="1:33" x14ac:dyDescent="0.35">
      <c r="A50">
        <f>'LULUCF Models'!S4</f>
        <v>16.414255780101204</v>
      </c>
      <c r="B50">
        <f t="shared" si="7"/>
        <v>2020</v>
      </c>
      <c r="C50" s="80">
        <f>TIM_Output!AH16/1000</f>
        <v>37.397075829274357</v>
      </c>
      <c r="D50" s="80">
        <f t="shared" si="10"/>
        <v>0.60563517202162709</v>
      </c>
      <c r="E50" s="80">
        <f t="shared" si="11"/>
        <v>2.4191018892461238E-2</v>
      </c>
      <c r="F50" s="2">
        <f t="shared" si="5"/>
        <v>16.95778481660556</v>
      </c>
      <c r="G50" s="2">
        <f t="shared" si="5"/>
        <v>6.4106200065022279</v>
      </c>
      <c r="H50" s="2">
        <f t="shared" si="6"/>
        <v>60.765480652382145</v>
      </c>
      <c r="I50" s="2"/>
      <c r="J50" s="2"/>
      <c r="K50" s="74">
        <f t="shared" si="8"/>
        <v>0.11045901814028769</v>
      </c>
      <c r="L50" s="73"/>
      <c r="M50" s="3">
        <f t="shared" si="12"/>
        <v>0.15109132206254794</v>
      </c>
      <c r="N50" s="3">
        <f t="shared" si="13"/>
        <v>2.8847221064615458E-2</v>
      </c>
      <c r="O50" s="3">
        <f t="shared" si="14"/>
        <v>5.6766827414404752E-2</v>
      </c>
      <c r="P50" s="3">
        <f>M50</f>
        <v>0.15109132206254794</v>
      </c>
      <c r="Q50" s="3">
        <f t="shared" ref="Q50:R50" si="15">N50</f>
        <v>2.8847221064615458E-2</v>
      </c>
      <c r="R50" s="3">
        <f t="shared" si="15"/>
        <v>5.6766827414404752E-2</v>
      </c>
      <c r="S50" s="3">
        <f>K50</f>
        <v>0.11045901814028769</v>
      </c>
      <c r="T50" s="3"/>
      <c r="W50" s="134"/>
      <c r="X50" s="134"/>
      <c r="Y50">
        <f t="shared" si="9"/>
        <v>2020</v>
      </c>
      <c r="Z50" s="130">
        <f>Z49</f>
        <v>0.58922091624152584</v>
      </c>
      <c r="AA50" s="130">
        <f>'LULUCF Models'!S4/1000</f>
        <v>1.6414255780101205E-2</v>
      </c>
      <c r="AB50" s="130">
        <f>SUM(Z50:AA50)</f>
        <v>0.60563517202162709</v>
      </c>
      <c r="AE50" s="130">
        <f>AE49</f>
        <v>2.300445724897977E-2</v>
      </c>
      <c r="AF50">
        <f>'LULUCF Models'!T4/1000</f>
        <v>1.1865616434814702E-3</v>
      </c>
      <c r="AG50">
        <f t="shared" ref="AG50:AG60" si="16">SUM(AE50:AF50)</f>
        <v>2.4191018892461238E-2</v>
      </c>
    </row>
    <row r="51" spans="1:33" x14ac:dyDescent="0.35">
      <c r="A51">
        <f>'LULUCF Models'!S5</f>
        <v>17.763347765808923</v>
      </c>
      <c r="B51">
        <f t="shared" si="7"/>
        <v>2021</v>
      </c>
      <c r="C51" s="80">
        <f>TIM_Output!AH17/1000</f>
        <v>39.44333324417066</v>
      </c>
      <c r="D51" s="80">
        <f t="shared" si="10"/>
        <v>0.60698426400733474</v>
      </c>
      <c r="E51" s="80">
        <f t="shared" si="11"/>
        <v>2.4288542705006529E-2</v>
      </c>
      <c r="F51" s="2">
        <f t="shared" si="5"/>
        <v>16.995559392205372</v>
      </c>
      <c r="G51" s="2">
        <f t="shared" si="5"/>
        <v>6.4364638168267305</v>
      </c>
      <c r="H51" s="2">
        <f t="shared" si="6"/>
        <v>62.875356453202762</v>
      </c>
      <c r="I51" s="2"/>
      <c r="J51" s="2"/>
      <c r="K51" s="74">
        <f t="shared" si="8"/>
        <v>7.9572716060318238E-2</v>
      </c>
      <c r="L51" s="73"/>
      <c r="M51" s="3">
        <f t="shared" si="12"/>
        <v>0.10464154923192626</v>
      </c>
      <c r="N51" s="3">
        <f t="shared" si="13"/>
        <v>2.6683914685651233E-2</v>
      </c>
      <c r="O51" s="3">
        <f t="shared" si="14"/>
        <v>5.2964271783380701E-2</v>
      </c>
      <c r="W51" s="134"/>
      <c r="X51" s="134"/>
      <c r="Y51">
        <f t="shared" si="9"/>
        <v>2021</v>
      </c>
      <c r="Z51" s="130">
        <f t="shared" ref="Z51" si="17">Z50</f>
        <v>0.58922091624152584</v>
      </c>
      <c r="AA51" s="130">
        <f>'LULUCF Models'!S5/1000</f>
        <v>1.7763347765808922E-2</v>
      </c>
      <c r="AB51" s="130">
        <f t="shared" ref="AB51:AB60" si="18">SUM(Z51:AA51)</f>
        <v>0.60698426400733474</v>
      </c>
      <c r="AE51" s="130">
        <f t="shared" ref="AE51" si="19">AE50</f>
        <v>2.300445724897977E-2</v>
      </c>
      <c r="AF51">
        <f>'LULUCF Models'!T5/1000</f>
        <v>1.2840854560267601E-3</v>
      </c>
      <c r="AG51">
        <f t="shared" si="16"/>
        <v>2.4288542705006529E-2</v>
      </c>
    </row>
    <row r="52" spans="1:33" x14ac:dyDescent="0.35">
      <c r="A52">
        <f>'LULUCF Models'!S6</f>
        <v>17.175521928139652</v>
      </c>
      <c r="B52">
        <f t="shared" si="7"/>
        <v>2022</v>
      </c>
      <c r="C52" s="80">
        <f>TIM_Output!AH18/1000</f>
        <v>39.791121384432152</v>
      </c>
      <c r="D52" s="80">
        <f t="shared" si="10"/>
        <v>0.58129901066215994</v>
      </c>
      <c r="E52" s="80">
        <f t="shared" si="11"/>
        <v>2.3312798324193917E-2</v>
      </c>
      <c r="F52" s="2">
        <f t="shared" si="5"/>
        <v>16.27637229854048</v>
      </c>
      <c r="G52" s="2">
        <f t="shared" si="5"/>
        <v>6.1778915559113878</v>
      </c>
      <c r="H52" s="2">
        <f t="shared" si="6"/>
        <v>62.245385238884019</v>
      </c>
      <c r="I52" s="2"/>
      <c r="J52" s="2"/>
      <c r="K52" s="74">
        <f t="shared" si="8"/>
        <v>8.8794813976966203E-2</v>
      </c>
      <c r="L52" s="73"/>
      <c r="M52" s="3">
        <f t="shared" si="12"/>
        <v>9.6746804420873467E-2</v>
      </c>
      <c r="N52" s="3">
        <f t="shared" si="13"/>
        <v>6.7870930097192028E-2</v>
      </c>
      <c r="O52" s="3">
        <f t="shared" si="14"/>
        <v>9.1009567520521473E-2</v>
      </c>
      <c r="W52" s="134"/>
      <c r="X52" s="134"/>
      <c r="Y52">
        <f t="shared" si="9"/>
        <v>2022</v>
      </c>
      <c r="Z52" s="97">
        <f>Z51-Z$2</f>
        <v>0.5641234887340203</v>
      </c>
      <c r="AA52" s="130">
        <f>'LULUCF Models'!S6/1000</f>
        <v>1.7175521928139651E-2</v>
      </c>
      <c r="AB52" s="130">
        <f t="shared" si="18"/>
        <v>0.58129901066215994</v>
      </c>
      <c r="AE52" s="97">
        <f>AE51-AE$2</f>
        <v>2.2071205906009986E-2</v>
      </c>
      <c r="AF52">
        <f>'LULUCF Models'!T6/1000</f>
        <v>1.2415924181839303E-3</v>
      </c>
      <c r="AG52">
        <f t="shared" si="16"/>
        <v>2.3312798324193917E-2</v>
      </c>
    </row>
    <row r="53" spans="1:33" x14ac:dyDescent="0.35">
      <c r="A53">
        <f>'LULUCF Models'!S7</f>
        <v>22.544289796848513</v>
      </c>
      <c r="B53">
        <f t="shared" si="7"/>
        <v>2023</v>
      </c>
      <c r="C53" s="80">
        <f>TIM_Output!AH19/1000</f>
        <v>40.468275334231322</v>
      </c>
      <c r="D53" s="80">
        <f t="shared" si="10"/>
        <v>0.56157035102336328</v>
      </c>
      <c r="E53" s="80">
        <f t="shared" si="11"/>
        <v>2.2767647063927147E-2</v>
      </c>
      <c r="F53" s="2">
        <f t="shared" si="5"/>
        <v>15.723969828654171</v>
      </c>
      <c r="G53" s="2">
        <f t="shared" si="5"/>
        <v>6.033426471940694</v>
      </c>
      <c r="H53" s="2">
        <f t="shared" si="6"/>
        <v>62.225671634826185</v>
      </c>
      <c r="I53" s="2"/>
      <c r="J53" s="2"/>
      <c r="K53" s="74">
        <f t="shared" si="8"/>
        <v>8.9083399840540922E-2</v>
      </c>
      <c r="L53" s="73"/>
      <c r="M53" s="3">
        <f t="shared" si="12"/>
        <v>8.137549927101595E-2</v>
      </c>
      <c r="N53" s="3">
        <f t="shared" si="13"/>
        <v>9.9506382458607323E-2</v>
      </c>
      <c r="O53" s="3">
        <f t="shared" si="14"/>
        <v>0.1122655863366907</v>
      </c>
      <c r="W53" s="134"/>
      <c r="X53" s="134"/>
      <c r="Y53">
        <f t="shared" si="9"/>
        <v>2023</v>
      </c>
      <c r="Z53" s="97">
        <f t="shared" ref="Z53:Z60" si="20">Z52-Z$2</f>
        <v>0.53902606122651475</v>
      </c>
      <c r="AA53" s="130">
        <f>'LULUCF Models'!S7/1000</f>
        <v>2.2544289796848513E-2</v>
      </c>
      <c r="AB53" s="130">
        <f t="shared" si="18"/>
        <v>0.56157035102336328</v>
      </c>
      <c r="AE53" s="97">
        <f t="shared" ref="AE53:AE60" si="21">AE52-AE$2</f>
        <v>2.1137954563040202E-2</v>
      </c>
      <c r="AF53">
        <f>'LULUCF Models'!T7/1000</f>
        <v>1.6296925008869442E-3</v>
      </c>
      <c r="AG53">
        <f t="shared" si="16"/>
        <v>2.2767647063927147E-2</v>
      </c>
    </row>
    <row r="54" spans="1:33" x14ac:dyDescent="0.35">
      <c r="A54">
        <f>'LULUCF Models'!S8</f>
        <v>17.37995563795187</v>
      </c>
      <c r="B54">
        <f t="shared" si="7"/>
        <v>2024</v>
      </c>
      <c r="C54" s="80">
        <f>TIM_Output!AH20/1000</f>
        <v>35.868720985882703</v>
      </c>
      <c r="D54" s="80">
        <f t="shared" si="10"/>
        <v>0.53130858935696113</v>
      </c>
      <c r="E54" s="80">
        <f t="shared" si="11"/>
        <v>2.1461073840930576E-2</v>
      </c>
      <c r="F54" s="2">
        <f t="shared" si="5"/>
        <v>14.876640501994912</v>
      </c>
      <c r="G54" s="2">
        <f t="shared" si="5"/>
        <v>5.6871845678466029</v>
      </c>
      <c r="H54" s="2">
        <f t="shared" si="6"/>
        <v>56.432546055724217</v>
      </c>
      <c r="I54" s="2"/>
      <c r="J54" s="2"/>
      <c r="K54" s="74">
        <f t="shared" si="8"/>
        <v>0.17388849905716275</v>
      </c>
      <c r="L54" s="73"/>
      <c r="M54" s="3">
        <f t="shared" si="12"/>
        <v>0.18578477497972179</v>
      </c>
      <c r="N54" s="3">
        <f t="shared" si="13"/>
        <v>0.14803195576655459</v>
      </c>
      <c r="O54" s="3">
        <f t="shared" si="14"/>
        <v>0.16321024525415784</v>
      </c>
      <c r="W54" s="134"/>
      <c r="X54" s="142"/>
      <c r="Y54">
        <f t="shared" si="9"/>
        <v>2024</v>
      </c>
      <c r="Z54" s="97">
        <f t="shared" si="20"/>
        <v>0.51392863371900921</v>
      </c>
      <c r="AA54" s="130">
        <f>'LULUCF Models'!S8/1000</f>
        <v>1.7379955637951871E-2</v>
      </c>
      <c r="AB54" s="130">
        <f t="shared" si="18"/>
        <v>0.53130858935696113</v>
      </c>
      <c r="AE54" s="97">
        <f t="shared" si="21"/>
        <v>2.0204703220070418E-2</v>
      </c>
      <c r="AF54">
        <f>'LULUCF Models'!T8/1000</f>
        <v>1.2563706208601594E-3</v>
      </c>
      <c r="AG54">
        <f t="shared" si="16"/>
        <v>2.1461073840930576E-2</v>
      </c>
    </row>
    <row r="55" spans="1:33" x14ac:dyDescent="0.35">
      <c r="A55">
        <f>'LULUCF Models'!S9</f>
        <v>16.564649372269503</v>
      </c>
      <c r="B55">
        <f t="shared" si="7"/>
        <v>2025</v>
      </c>
      <c r="C55" s="80">
        <f>TIM_Output!AH21/1000</f>
        <v>32.556433407540545</v>
      </c>
      <c r="D55" s="80">
        <f t="shared" si="10"/>
        <v>0.5053958555837732</v>
      </c>
      <c r="E55" s="80">
        <f t="shared" si="11"/>
        <v>2.0468885245153903E-2</v>
      </c>
      <c r="F55" s="2">
        <f t="shared" si="5"/>
        <v>14.15108395634565</v>
      </c>
      <c r="G55" s="2">
        <f t="shared" si="5"/>
        <v>5.4242545899657841</v>
      </c>
      <c r="H55" s="2">
        <f t="shared" si="6"/>
        <v>52.131771953851981</v>
      </c>
      <c r="I55" s="2"/>
      <c r="J55" s="2"/>
      <c r="K55" s="74">
        <f t="shared" si="8"/>
        <v>0.23684718507861979</v>
      </c>
      <c r="L55" s="73"/>
      <c r="M55" s="3">
        <f t="shared" si="12"/>
        <v>0.2609732651685186</v>
      </c>
      <c r="N55" s="3">
        <f t="shared" si="13"/>
        <v>0.18958374234731412</v>
      </c>
      <c r="O55" s="3">
        <f t="shared" si="14"/>
        <v>0.2018967181620569</v>
      </c>
      <c r="P55" s="3">
        <f>M55</f>
        <v>0.2609732651685186</v>
      </c>
      <c r="Q55" s="3">
        <f t="shared" ref="Q55:R55" si="22">N55</f>
        <v>0.18958374234731412</v>
      </c>
      <c r="R55" s="3">
        <f t="shared" si="22"/>
        <v>0.2018967181620569</v>
      </c>
      <c r="S55" s="3">
        <f>K55</f>
        <v>0.23684718507861979</v>
      </c>
      <c r="T55" s="3"/>
      <c r="W55" s="134"/>
      <c r="X55" s="142"/>
      <c r="Y55">
        <f t="shared" si="9"/>
        <v>2025</v>
      </c>
      <c r="Z55" s="97">
        <f t="shared" si="20"/>
        <v>0.48883120621150367</v>
      </c>
      <c r="AA55" s="130">
        <f>'LULUCF Models'!S9/1000</f>
        <v>1.6564649372269504E-2</v>
      </c>
      <c r="AB55" s="130">
        <f t="shared" si="18"/>
        <v>0.5053958555837732</v>
      </c>
      <c r="AE55" s="97">
        <f t="shared" si="21"/>
        <v>1.9271451877100634E-2</v>
      </c>
      <c r="AF55">
        <f>'LULUCF Models'!T9/1000</f>
        <v>1.1974333680532679E-3</v>
      </c>
      <c r="AG55">
        <f t="shared" si="16"/>
        <v>2.0468885245153903E-2</v>
      </c>
    </row>
    <row r="56" spans="1:33" x14ac:dyDescent="0.35">
      <c r="A56">
        <f>'LULUCF Models'!S10</f>
        <v>11.458093059444423</v>
      </c>
      <c r="B56">
        <f t="shared" si="7"/>
        <v>2026</v>
      </c>
      <c r="C56" s="80">
        <f>TIM_Output!AH22/1000</f>
        <v>28.609033574713234</v>
      </c>
      <c r="D56" s="80">
        <f t="shared" si="10"/>
        <v>0.47519187176344252</v>
      </c>
      <c r="E56" s="80">
        <f t="shared" si="11"/>
        <v>1.9166488694978199E-2</v>
      </c>
      <c r="F56" s="2">
        <f t="shared" si="5"/>
        <v>13.305372409376391</v>
      </c>
      <c r="G56" s="2">
        <f t="shared" si="5"/>
        <v>5.0791195041692223</v>
      </c>
      <c r="H56" s="2">
        <f t="shared" si="6"/>
        <v>46.993525488258847</v>
      </c>
      <c r="I56" s="2"/>
      <c r="J56" s="2"/>
      <c r="K56" s="74">
        <f t="shared" si="8"/>
        <v>0.31206556164652954</v>
      </c>
      <c r="L56" s="73"/>
      <c r="M56" s="3">
        <f t="shared" si="12"/>
        <v>0.35057871958088771</v>
      </c>
      <c r="N56" s="3">
        <f t="shared" si="13"/>
        <v>0.2380166672782098</v>
      </c>
      <c r="O56" s="3">
        <f t="shared" si="14"/>
        <v>0.25267852423015924</v>
      </c>
      <c r="P56" s="3"/>
      <c r="Q56" s="3"/>
      <c r="R56" s="3"/>
      <c r="W56" s="134"/>
      <c r="X56" s="142"/>
      <c r="Y56">
        <f t="shared" si="9"/>
        <v>2026</v>
      </c>
      <c r="Z56" s="97">
        <f t="shared" si="20"/>
        <v>0.46373377870399812</v>
      </c>
      <c r="AA56" s="130">
        <f>'LULUCF Models'!S10/1000</f>
        <v>1.1458093059444422E-2</v>
      </c>
      <c r="AB56" s="130">
        <f t="shared" si="18"/>
        <v>0.47519187176344252</v>
      </c>
      <c r="AE56" s="97">
        <f t="shared" si="21"/>
        <v>1.833820053413085E-2</v>
      </c>
      <c r="AF56">
        <f>'LULUCF Models'!T10/1000</f>
        <v>8.2828816084734938E-4</v>
      </c>
      <c r="AG56">
        <f t="shared" si="16"/>
        <v>1.9166488694978199E-2</v>
      </c>
    </row>
    <row r="57" spans="1:33" x14ac:dyDescent="0.35">
      <c r="A57">
        <f>'LULUCF Models'!S11</f>
        <v>11.061279147433366</v>
      </c>
      <c r="B57">
        <f t="shared" si="7"/>
        <v>2027</v>
      </c>
      <c r="C57" s="80">
        <f>TIM_Output!AH23/1000</f>
        <v>25.964462362916588</v>
      </c>
      <c r="D57" s="80">
        <f t="shared" si="10"/>
        <v>0.44969763034392596</v>
      </c>
      <c r="E57" s="80">
        <f t="shared" si="11"/>
        <v>1.8204552276431432E-2</v>
      </c>
      <c r="F57" s="2">
        <f t="shared" si="5"/>
        <v>12.591533649629927</v>
      </c>
      <c r="G57" s="2">
        <f t="shared" si="5"/>
        <v>4.8242063532543291</v>
      </c>
      <c r="H57" s="2">
        <f t="shared" si="6"/>
        <v>43.380202365800841</v>
      </c>
      <c r="I57" s="2"/>
      <c r="J57" s="2"/>
      <c r="K57" s="74">
        <f t="shared" si="8"/>
        <v>0.36496070809513559</v>
      </c>
      <c r="L57" s="73"/>
      <c r="M57" s="3">
        <f t="shared" si="12"/>
        <v>0.41061013651216427</v>
      </c>
      <c r="N57" s="3">
        <f t="shared" si="13"/>
        <v>0.27889738977450651</v>
      </c>
      <c r="O57" s="3">
        <f t="shared" si="14"/>
        <v>0.29018543305136013</v>
      </c>
      <c r="W57" s="134"/>
      <c r="X57" s="142"/>
      <c r="Y57">
        <f t="shared" si="9"/>
        <v>2027</v>
      </c>
      <c r="Z57" s="97">
        <f t="shared" si="20"/>
        <v>0.43863635119649258</v>
      </c>
      <c r="AA57" s="130">
        <f>'LULUCF Models'!S11/1000</f>
        <v>1.1061279147433366E-2</v>
      </c>
      <c r="AB57" s="130">
        <f t="shared" si="18"/>
        <v>0.44969763034392596</v>
      </c>
      <c r="AE57" s="97">
        <f t="shared" si="21"/>
        <v>1.7404949191161066E-2</v>
      </c>
      <c r="AF57">
        <f>'LULUCF Models'!T11/1000</f>
        <v>7.9960308527036528E-4</v>
      </c>
      <c r="AG57">
        <f t="shared" si="16"/>
        <v>1.8204552276431432E-2</v>
      </c>
    </row>
    <row r="58" spans="1:33" x14ac:dyDescent="0.35">
      <c r="A58">
        <f>'LULUCF Models'!S12</f>
        <v>9.1375295205173082</v>
      </c>
      <c r="B58">
        <f t="shared" si="7"/>
        <v>2028</v>
      </c>
      <c r="C58" s="80">
        <f>TIM_Output!AH24/1000</f>
        <v>23.23245495447069</v>
      </c>
      <c r="D58" s="80">
        <f t="shared" si="10"/>
        <v>0.42267645320950437</v>
      </c>
      <c r="E58" s="80">
        <f t="shared" si="11"/>
        <v>1.7132235992014373E-2</v>
      </c>
      <c r="F58" s="2">
        <f t="shared" si="5"/>
        <v>11.834940689866123</v>
      </c>
      <c r="G58" s="2">
        <f t="shared" si="5"/>
        <v>4.5400425378838083</v>
      </c>
      <c r="H58" s="2">
        <f t="shared" si="6"/>
        <v>39.607438182220619</v>
      </c>
      <c r="I58" s="2"/>
      <c r="J58" s="2"/>
      <c r="K58" s="74">
        <f t="shared" si="8"/>
        <v>0.42018989940830498</v>
      </c>
      <c r="L58" s="73"/>
      <c r="M58" s="3">
        <f t="shared" si="12"/>
        <v>0.47262634354949762</v>
      </c>
      <c r="N58" s="3">
        <f t="shared" si="13"/>
        <v>0.32222659599712955</v>
      </c>
      <c r="O58" s="3">
        <f t="shared" si="14"/>
        <v>0.33199616849256552</v>
      </c>
      <c r="R58" s="2"/>
      <c r="W58" s="134"/>
      <c r="X58" s="134"/>
      <c r="Y58">
        <f t="shared" si="9"/>
        <v>2028</v>
      </c>
      <c r="Z58" s="97">
        <f t="shared" si="20"/>
        <v>0.41353892368898704</v>
      </c>
      <c r="AA58" s="130">
        <f>'LULUCF Models'!S12/1000</f>
        <v>9.1375295205173082E-3</v>
      </c>
      <c r="AB58" s="130">
        <f t="shared" si="18"/>
        <v>0.42267645320950437</v>
      </c>
      <c r="AE58" s="97">
        <f t="shared" si="21"/>
        <v>1.6471697848191282E-2</v>
      </c>
      <c r="AF58">
        <f>'LULUCF Models'!T12/1000</f>
        <v>6.6053814382308941E-4</v>
      </c>
      <c r="AG58">
        <f t="shared" si="16"/>
        <v>1.7132235992014373E-2</v>
      </c>
    </row>
    <row r="59" spans="1:33" x14ac:dyDescent="0.35">
      <c r="A59">
        <f>'LULUCF Models'!S13</f>
        <v>8.0392030982704554</v>
      </c>
      <c r="B59">
        <f t="shared" si="7"/>
        <v>2029</v>
      </c>
      <c r="C59" s="80">
        <f>TIM_Output!AH25/1000</f>
        <v>20.902778020767197</v>
      </c>
      <c r="D59" s="80">
        <f t="shared" si="10"/>
        <v>0.39648069927975194</v>
      </c>
      <c r="E59" s="80">
        <f t="shared" si="11"/>
        <v>1.6119588298572199E-2</v>
      </c>
      <c r="F59" s="2">
        <f t="shared" si="5"/>
        <v>11.101459579833055</v>
      </c>
      <c r="G59" s="2">
        <f t="shared" si="5"/>
        <v>4.2716908991216327</v>
      </c>
      <c r="H59" s="2">
        <f t="shared" si="6"/>
        <v>36.275928499721886</v>
      </c>
      <c r="I59" s="2"/>
      <c r="J59" s="2"/>
      <c r="K59" s="74">
        <f t="shared" si="8"/>
        <v>0.46895960158507677</v>
      </c>
      <c r="L59" s="73"/>
      <c r="M59" s="3">
        <f t="shared" si="12"/>
        <v>0.52550970199281966</v>
      </c>
      <c r="N59" s="3">
        <f t="shared" si="13"/>
        <v>0.36423221324070354</v>
      </c>
      <c r="O59" s="3">
        <f t="shared" si="14"/>
        <v>0.37148036305431709</v>
      </c>
      <c r="R59" s="2"/>
      <c r="W59" s="134"/>
      <c r="X59" s="142"/>
      <c r="Y59">
        <f t="shared" si="9"/>
        <v>2029</v>
      </c>
      <c r="Z59" s="97">
        <f t="shared" si="20"/>
        <v>0.38844149618148149</v>
      </c>
      <c r="AA59" s="130">
        <f>'LULUCF Models'!S13/1000</f>
        <v>8.039203098270456E-3</v>
      </c>
      <c r="AB59" s="130">
        <f t="shared" si="18"/>
        <v>0.39648069927975194</v>
      </c>
      <c r="AE59" s="97">
        <f t="shared" si="21"/>
        <v>1.5538446505221497E-2</v>
      </c>
      <c r="AF59">
        <f>'LULUCF Models'!T13/1000</f>
        <v>5.8114179335070075E-4</v>
      </c>
      <c r="AG59">
        <f t="shared" si="16"/>
        <v>1.6119588298572199E-2</v>
      </c>
    </row>
    <row r="60" spans="1:33" x14ac:dyDescent="0.35">
      <c r="A60">
        <f>'LULUCF Models'!S14</f>
        <v>8.8507083303080591</v>
      </c>
      <c r="B60">
        <f t="shared" si="7"/>
        <v>2030</v>
      </c>
      <c r="C60" s="71">
        <f>TIM_Output!AH26/1000</f>
        <v>19.191011235625513</v>
      </c>
      <c r="D60" s="80">
        <f t="shared" si="10"/>
        <v>0.37219477700428399</v>
      </c>
      <c r="E60" s="80">
        <f t="shared" si="11"/>
        <v>1.5244999437454785E-2</v>
      </c>
      <c r="F60" s="70">
        <f t="shared" si="5"/>
        <v>10.421453756119952</v>
      </c>
      <c r="G60" s="70">
        <f t="shared" si="5"/>
        <v>4.0399248509255177</v>
      </c>
      <c r="H60" s="70">
        <f t="shared" si="6"/>
        <v>33.652389842670985</v>
      </c>
      <c r="I60" s="70"/>
      <c r="J60" s="70"/>
      <c r="K60" s="84">
        <f t="shared" si="8"/>
        <v>0.50736537288622885</v>
      </c>
      <c r="L60" s="73"/>
      <c r="M60" s="72">
        <f t="shared" si="12"/>
        <v>0.5643665817431438</v>
      </c>
      <c r="N60" s="72">
        <f t="shared" si="13"/>
        <v>0.40317536251009112</v>
      </c>
      <c r="O60" s="72">
        <f t="shared" si="14"/>
        <v>0.40558149909356356</v>
      </c>
      <c r="P60" s="3">
        <f>M60</f>
        <v>0.5643665817431438</v>
      </c>
      <c r="Q60" s="3">
        <f t="shared" ref="Q60:R60" si="23">N60</f>
        <v>0.40317536251009112</v>
      </c>
      <c r="R60" s="3">
        <f t="shared" si="23"/>
        <v>0.40558149909356356</v>
      </c>
      <c r="S60" s="3">
        <f>K60</f>
        <v>0.50736537288622885</v>
      </c>
      <c r="T60" s="3"/>
      <c r="W60" s="134"/>
      <c r="X60" s="142"/>
      <c r="Y60">
        <f t="shared" si="9"/>
        <v>2030</v>
      </c>
      <c r="Z60" s="97">
        <f t="shared" si="20"/>
        <v>0.36334406867397595</v>
      </c>
      <c r="AA60" s="130">
        <f>'LULUCF Models'!S14/1000</f>
        <v>8.8507083303080592E-3</v>
      </c>
      <c r="AB60" s="130">
        <f t="shared" si="18"/>
        <v>0.37219477700428399</v>
      </c>
      <c r="AE60" s="97">
        <f t="shared" si="21"/>
        <v>1.4605195162251713E-2</v>
      </c>
      <c r="AF60">
        <f>'LULUCF Models'!T14/1000</f>
        <v>6.3980427520307095E-4</v>
      </c>
      <c r="AG60">
        <f t="shared" si="16"/>
        <v>1.5244999437454785E-2</v>
      </c>
    </row>
    <row r="61" spans="1:33" x14ac:dyDescent="0.35">
      <c r="B61">
        <f t="shared" si="7"/>
        <v>2031</v>
      </c>
      <c r="C61" s="70">
        <f>TIM_Output!AH27/1000</f>
        <v>18.231460673844232</v>
      </c>
      <c r="D61" s="1">
        <f>D60*(1+I$1)</f>
        <v>0.37219477700428399</v>
      </c>
      <c r="E61" s="2">
        <f>E60*(1+I$1)</f>
        <v>1.5244999437454785E-2</v>
      </c>
      <c r="F61" s="2">
        <f t="shared" ref="F61:G76" si="24">D61*F$5</f>
        <v>10.421453756119952</v>
      </c>
      <c r="G61" s="2">
        <f t="shared" si="24"/>
        <v>4.0399248509255177</v>
      </c>
      <c r="H61" s="2">
        <f>SUM(F61:G61)+C61+U61</f>
        <v>32.490843038343421</v>
      </c>
      <c r="I61" s="2"/>
      <c r="J61" s="2"/>
      <c r="K61" s="74">
        <f t="shared" si="8"/>
        <v>0.52436916309252002</v>
      </c>
      <c r="L61" s="73"/>
      <c r="M61" s="3">
        <f t="shared" si="12"/>
        <v>0.58614825265598669</v>
      </c>
      <c r="N61" s="3">
        <f t="shared" si="13"/>
        <v>0.40317536251009112</v>
      </c>
      <c r="O61" s="3">
        <f t="shared" si="14"/>
        <v>0.40558149909356356</v>
      </c>
      <c r="U61" s="2">
        <f>U60+$A$79</f>
        <v>-0.20199624254627588</v>
      </c>
      <c r="V61" s="2">
        <f>U61</f>
        <v>-0.20199624254627588</v>
      </c>
      <c r="W61" s="134"/>
      <c r="X61" s="134"/>
    </row>
    <row r="62" spans="1:33" x14ac:dyDescent="0.35">
      <c r="B62">
        <f t="shared" si="7"/>
        <v>2032</v>
      </c>
      <c r="C62" s="70">
        <f>TIM_Output!AH28/1000</f>
        <v>17.271910112062958</v>
      </c>
      <c r="D62" s="1">
        <f>D61*(1+I$1)</f>
        <v>0.37219477700428399</v>
      </c>
      <c r="E62" s="2">
        <f t="shared" ref="E62:E90" si="25">E61*(1+I$1)</f>
        <v>1.5244999437454785E-2</v>
      </c>
      <c r="F62" s="2">
        <f t="shared" si="24"/>
        <v>10.421453756119952</v>
      </c>
      <c r="G62" s="2">
        <f t="shared" si="24"/>
        <v>4.0399248509255177</v>
      </c>
      <c r="H62" s="2">
        <f t="shared" ref="H62:H80" si="26">SUM(F62:G62)+C62+U62</f>
        <v>31.329296234015878</v>
      </c>
      <c r="I62" s="2"/>
      <c r="J62" s="2"/>
      <c r="K62" s="74">
        <f t="shared" si="8"/>
        <v>0.54137295329881086</v>
      </c>
      <c r="L62" s="73"/>
      <c r="M62" s="3">
        <f t="shared" si="12"/>
        <v>0.60792992356882958</v>
      </c>
      <c r="N62" s="3">
        <f t="shared" si="13"/>
        <v>0.40317536251009112</v>
      </c>
      <c r="O62" s="3">
        <f t="shared" si="14"/>
        <v>0.40558149909356356</v>
      </c>
      <c r="U62" s="2">
        <f>U61+$A$79</f>
        <v>-0.40399248509255176</v>
      </c>
      <c r="V62" s="2">
        <f>U62+V61</f>
        <v>-0.60598872763882761</v>
      </c>
      <c r="W62" s="134"/>
      <c r="X62" s="134"/>
    </row>
    <row r="63" spans="1:33" x14ac:dyDescent="0.35">
      <c r="B63">
        <f t="shared" si="7"/>
        <v>2033</v>
      </c>
      <c r="C63" s="70">
        <f>TIM_Output!AH29/1000</f>
        <v>16.312359550281691</v>
      </c>
      <c r="D63" s="1">
        <f t="shared" ref="D63:D90" si="27">D62*(1+I$1)</f>
        <v>0.37219477700428399</v>
      </c>
      <c r="E63" s="2">
        <f t="shared" si="25"/>
        <v>1.5244999437454785E-2</v>
      </c>
      <c r="F63" s="2">
        <f t="shared" si="24"/>
        <v>10.421453756119952</v>
      </c>
      <c r="G63" s="2">
        <f t="shared" si="24"/>
        <v>4.0399248509255177</v>
      </c>
      <c r="H63" s="2">
        <f t="shared" si="26"/>
        <v>30.167749429688332</v>
      </c>
      <c r="I63" s="2"/>
      <c r="J63" s="2"/>
      <c r="K63" s="74">
        <f t="shared" si="8"/>
        <v>0.5583767435051018</v>
      </c>
      <c r="L63" s="73"/>
      <c r="M63" s="3">
        <f t="shared" si="12"/>
        <v>0.62971159448167213</v>
      </c>
      <c r="N63" s="3">
        <f t="shared" si="13"/>
        <v>0.40317536251009112</v>
      </c>
      <c r="O63" s="3">
        <f t="shared" si="14"/>
        <v>0.40558149909356356</v>
      </c>
      <c r="U63" s="2">
        <f t="shared" ref="U63:U80" si="28">U62+$A$79</f>
        <v>-0.60598872763882761</v>
      </c>
      <c r="V63" s="2">
        <f t="shared" ref="V63:V93" si="29">U63+V62</f>
        <v>-1.2119774552776552</v>
      </c>
    </row>
    <row r="64" spans="1:33" x14ac:dyDescent="0.35">
      <c r="B64">
        <f t="shared" si="7"/>
        <v>2034</v>
      </c>
      <c r="C64" s="70">
        <f>TIM_Output!AH30/1000</f>
        <v>15.352808988500405</v>
      </c>
      <c r="D64" s="1">
        <f t="shared" si="27"/>
        <v>0.37219477700428399</v>
      </c>
      <c r="E64" s="2">
        <f t="shared" si="25"/>
        <v>1.5244999437454785E-2</v>
      </c>
      <c r="F64" s="2">
        <f t="shared" si="24"/>
        <v>10.421453756119952</v>
      </c>
      <c r="G64" s="2">
        <f t="shared" si="24"/>
        <v>4.0399248509255177</v>
      </c>
      <c r="H64" s="2">
        <f t="shared" si="26"/>
        <v>29.006202625360771</v>
      </c>
      <c r="I64" s="2"/>
      <c r="J64" s="2"/>
      <c r="K64" s="74">
        <f t="shared" si="8"/>
        <v>0.57538053371139286</v>
      </c>
      <c r="L64" s="73"/>
      <c r="M64" s="3">
        <f t="shared" si="12"/>
        <v>0.65149326539451513</v>
      </c>
      <c r="N64" s="3">
        <f t="shared" si="13"/>
        <v>0.40317536251009112</v>
      </c>
      <c r="O64" s="3">
        <f t="shared" si="14"/>
        <v>0.40558149909356356</v>
      </c>
      <c r="U64" s="2">
        <f t="shared" si="28"/>
        <v>-0.80798497018510351</v>
      </c>
      <c r="V64" s="2">
        <f t="shared" si="29"/>
        <v>-2.0199624254627588</v>
      </c>
    </row>
    <row r="65" spans="1:22" x14ac:dyDescent="0.35">
      <c r="B65">
        <f t="shared" si="7"/>
        <v>2035</v>
      </c>
      <c r="C65" s="70">
        <f>TIM_Output!AH31/1000</f>
        <v>14.393258426719131</v>
      </c>
      <c r="D65" s="1">
        <f t="shared" si="27"/>
        <v>0.37219477700428399</v>
      </c>
      <c r="E65" s="2">
        <f t="shared" si="25"/>
        <v>1.5244999437454785E-2</v>
      </c>
      <c r="F65" s="2">
        <f t="shared" si="24"/>
        <v>10.421453756119952</v>
      </c>
      <c r="G65" s="2">
        <f t="shared" si="24"/>
        <v>4.0399248509255177</v>
      </c>
      <c r="H65" s="2">
        <f t="shared" si="26"/>
        <v>27.844655821033221</v>
      </c>
      <c r="I65" s="2"/>
      <c r="J65" s="2"/>
      <c r="K65" s="74">
        <f t="shared" si="8"/>
        <v>0.59238432391768392</v>
      </c>
      <c r="L65" s="73"/>
      <c r="M65" s="3">
        <f t="shared" si="12"/>
        <v>0.67327493630735802</v>
      </c>
      <c r="N65" s="3">
        <f t="shared" si="13"/>
        <v>0.40317536251009112</v>
      </c>
      <c r="O65" s="3">
        <f t="shared" si="14"/>
        <v>0.40558149909356356</v>
      </c>
      <c r="U65" s="2">
        <f t="shared" si="28"/>
        <v>-1.0099812127313794</v>
      </c>
      <c r="V65" s="2">
        <f t="shared" si="29"/>
        <v>-3.0299436381941383</v>
      </c>
    </row>
    <row r="66" spans="1:22" x14ac:dyDescent="0.35">
      <c r="B66">
        <f t="shared" si="7"/>
        <v>2036</v>
      </c>
      <c r="C66" s="70">
        <f>TIM_Output!AH32/1000</f>
        <v>13.433707864937857</v>
      </c>
      <c r="D66" s="1">
        <f t="shared" si="27"/>
        <v>0.37219477700428399</v>
      </c>
      <c r="E66" s="2">
        <f t="shared" si="25"/>
        <v>1.5244999437454785E-2</v>
      </c>
      <c r="F66" s="2">
        <f t="shared" si="24"/>
        <v>10.421453756119952</v>
      </c>
      <c r="G66" s="2">
        <f t="shared" si="24"/>
        <v>4.0399248509255177</v>
      </c>
      <c r="H66" s="2">
        <f t="shared" si="26"/>
        <v>26.683109016705671</v>
      </c>
      <c r="I66" s="2"/>
      <c r="J66" s="2"/>
      <c r="K66" s="74">
        <f t="shared" si="8"/>
        <v>0.60938811412397498</v>
      </c>
      <c r="L66" s="73"/>
      <c r="M66" s="3">
        <f t="shared" si="12"/>
        <v>0.69505660722020068</v>
      </c>
      <c r="N66" s="3">
        <f t="shared" si="13"/>
        <v>0.40317536251009112</v>
      </c>
      <c r="O66" s="3">
        <f t="shared" si="14"/>
        <v>0.40558149909356356</v>
      </c>
      <c r="U66" s="2">
        <f t="shared" si="28"/>
        <v>-1.2119774552776552</v>
      </c>
      <c r="V66" s="2">
        <f t="shared" si="29"/>
        <v>-4.2419210934717935</v>
      </c>
    </row>
    <row r="67" spans="1:22" x14ac:dyDescent="0.35">
      <c r="B67">
        <f t="shared" si="7"/>
        <v>2037</v>
      </c>
      <c r="C67" s="70">
        <f>TIM_Output!AH33/1000</f>
        <v>12.474157303156582</v>
      </c>
      <c r="D67" s="1">
        <f t="shared" si="27"/>
        <v>0.37219477700428399</v>
      </c>
      <c r="E67" s="2">
        <f t="shared" si="25"/>
        <v>1.5244999437454785E-2</v>
      </c>
      <c r="F67" s="2">
        <f t="shared" si="24"/>
        <v>10.421453756119952</v>
      </c>
      <c r="G67" s="2">
        <f t="shared" si="24"/>
        <v>4.0399248509255177</v>
      </c>
      <c r="H67" s="2">
        <f t="shared" si="26"/>
        <v>25.521562212378122</v>
      </c>
      <c r="I67" s="2"/>
      <c r="J67" s="2"/>
      <c r="K67" s="74">
        <f t="shared" si="8"/>
        <v>0.62639190433026593</v>
      </c>
      <c r="L67" s="73"/>
      <c r="M67" s="3">
        <f t="shared" si="12"/>
        <v>0.71683827813304357</v>
      </c>
      <c r="N67" s="3">
        <f t="shared" si="13"/>
        <v>0.40317536251009112</v>
      </c>
      <c r="O67" s="3">
        <f t="shared" si="14"/>
        <v>0.40558149909356356</v>
      </c>
      <c r="U67" s="2">
        <f t="shared" si="28"/>
        <v>-1.413973697823931</v>
      </c>
      <c r="V67" s="2">
        <f t="shared" si="29"/>
        <v>-5.655894791295724</v>
      </c>
    </row>
    <row r="68" spans="1:22" x14ac:dyDescent="0.35">
      <c r="B68">
        <f t="shared" si="7"/>
        <v>2038</v>
      </c>
      <c r="C68" s="70">
        <f>TIM_Output!AH34/1000</f>
        <v>11.514606741375308</v>
      </c>
      <c r="D68" s="1">
        <f t="shared" si="27"/>
        <v>0.37219477700428399</v>
      </c>
      <c r="E68" s="2">
        <f t="shared" si="25"/>
        <v>1.5244999437454785E-2</v>
      </c>
      <c r="F68" s="2">
        <f t="shared" si="24"/>
        <v>10.421453756119952</v>
      </c>
      <c r="G68" s="2">
        <f t="shared" si="24"/>
        <v>4.0399248509255177</v>
      </c>
      <c r="H68" s="2">
        <f t="shared" si="26"/>
        <v>24.360015408050572</v>
      </c>
      <c r="I68" s="2"/>
      <c r="J68" s="2"/>
      <c r="K68" s="74">
        <f t="shared" si="8"/>
        <v>0.64339569453655687</v>
      </c>
      <c r="L68" s="73"/>
      <c r="M68" s="3">
        <f t="shared" si="12"/>
        <v>0.73861994904588624</v>
      </c>
      <c r="N68" s="3">
        <f t="shared" si="13"/>
        <v>0.40317536251009112</v>
      </c>
      <c r="O68" s="3">
        <f t="shared" si="14"/>
        <v>0.40558149909356356</v>
      </c>
      <c r="U68" s="2">
        <f t="shared" si="28"/>
        <v>-1.6159699403702068</v>
      </c>
      <c r="V68" s="2">
        <f t="shared" si="29"/>
        <v>-7.2718647316659304</v>
      </c>
    </row>
    <row r="69" spans="1:22" x14ac:dyDescent="0.35">
      <c r="B69">
        <f t="shared" si="7"/>
        <v>2039</v>
      </c>
      <c r="C69" s="70">
        <f>TIM_Output!AH35/1000</f>
        <v>10.555056179594027</v>
      </c>
      <c r="D69" s="1">
        <f t="shared" si="27"/>
        <v>0.37219477700428399</v>
      </c>
      <c r="E69" s="2">
        <f t="shared" si="25"/>
        <v>1.5244999437454785E-2</v>
      </c>
      <c r="F69" s="2">
        <f t="shared" si="24"/>
        <v>10.421453756119952</v>
      </c>
      <c r="G69" s="2">
        <f t="shared" si="24"/>
        <v>4.0399248509255177</v>
      </c>
      <c r="H69" s="2">
        <f t="shared" si="26"/>
        <v>23.198468603723015</v>
      </c>
      <c r="I69" s="2"/>
      <c r="J69" s="2"/>
      <c r="K69" s="74">
        <f t="shared" si="8"/>
        <v>0.66039948474284804</v>
      </c>
      <c r="L69" s="73"/>
      <c r="M69" s="3">
        <f t="shared" si="12"/>
        <v>0.76040161995872924</v>
      </c>
      <c r="N69" s="3">
        <f t="shared" si="13"/>
        <v>0.40317536251009112</v>
      </c>
      <c r="O69" s="3">
        <f t="shared" si="14"/>
        <v>0.40558149909356356</v>
      </c>
      <c r="U69" s="2">
        <f t="shared" si="28"/>
        <v>-1.8179661829164826</v>
      </c>
      <c r="V69" s="2">
        <f t="shared" si="29"/>
        <v>-9.0898309145824125</v>
      </c>
    </row>
    <row r="70" spans="1:22" x14ac:dyDescent="0.35">
      <c r="B70">
        <f t="shared" si="7"/>
        <v>2040</v>
      </c>
      <c r="C70" s="70">
        <f>TIM_Output!AH36/1000</f>
        <v>9.595505617812746</v>
      </c>
      <c r="D70" s="1">
        <f t="shared" si="27"/>
        <v>0.37219477700428399</v>
      </c>
      <c r="E70" s="2">
        <f t="shared" si="25"/>
        <v>1.5244999437454785E-2</v>
      </c>
      <c r="F70" s="2">
        <f t="shared" si="24"/>
        <v>10.421453756119952</v>
      </c>
      <c r="G70" s="2">
        <f t="shared" si="24"/>
        <v>4.0399248509255177</v>
      </c>
      <c r="H70" s="2">
        <f t="shared" si="26"/>
        <v>22.036921799395458</v>
      </c>
      <c r="I70" s="2"/>
      <c r="J70" s="2"/>
      <c r="K70" s="74">
        <f t="shared" si="8"/>
        <v>0.67740327494913899</v>
      </c>
      <c r="L70" s="73"/>
      <c r="M70" s="3">
        <f t="shared" si="12"/>
        <v>0.78218329087157212</v>
      </c>
      <c r="N70" s="3">
        <f t="shared" si="13"/>
        <v>0.40317536251009112</v>
      </c>
      <c r="O70" s="3">
        <f t="shared" si="14"/>
        <v>0.40558149909356356</v>
      </c>
      <c r="P70" s="3">
        <f>M70</f>
        <v>0.78218329087157212</v>
      </c>
      <c r="Q70" s="3">
        <f t="shared" ref="Q70:R70" si="30">N70</f>
        <v>0.40317536251009112</v>
      </c>
      <c r="R70" s="3">
        <f t="shared" si="30"/>
        <v>0.40558149909356356</v>
      </c>
      <c r="S70" s="3">
        <f>K70</f>
        <v>0.67740327494913899</v>
      </c>
      <c r="T70" s="3"/>
      <c r="U70" s="2">
        <f t="shared" si="28"/>
        <v>-2.0199624254627584</v>
      </c>
      <c r="V70" s="2">
        <f t="shared" si="29"/>
        <v>-11.10979334004517</v>
      </c>
    </row>
    <row r="71" spans="1:22" x14ac:dyDescent="0.35">
      <c r="B71">
        <f t="shared" si="7"/>
        <v>2041</v>
      </c>
      <c r="C71" s="70">
        <f>TIM_Output!AH37/1000</f>
        <v>8.6359550560314755</v>
      </c>
      <c r="D71" s="1">
        <f t="shared" si="27"/>
        <v>0.37219477700428399</v>
      </c>
      <c r="E71" s="2">
        <f t="shared" si="25"/>
        <v>1.5244999437454785E-2</v>
      </c>
      <c r="F71" s="2">
        <f t="shared" si="24"/>
        <v>10.421453756119952</v>
      </c>
      <c r="G71" s="2">
        <f t="shared" si="24"/>
        <v>4.0399248509255177</v>
      </c>
      <c r="H71" s="2">
        <f t="shared" si="26"/>
        <v>20.875374995067911</v>
      </c>
      <c r="I71" s="2"/>
      <c r="J71" s="2"/>
      <c r="K71" s="74">
        <f t="shared" si="8"/>
        <v>0.69440706515542994</v>
      </c>
      <c r="L71" s="73"/>
      <c r="M71" s="3">
        <f t="shared" si="12"/>
        <v>0.8039649617844149</v>
      </c>
      <c r="N71" s="3">
        <f t="shared" si="13"/>
        <v>0.40317536251009112</v>
      </c>
      <c r="O71" s="3">
        <f t="shared" si="14"/>
        <v>0.40558149909356356</v>
      </c>
      <c r="U71" s="2">
        <f t="shared" si="28"/>
        <v>-2.2219586680090342</v>
      </c>
      <c r="V71" s="2">
        <f t="shared" si="29"/>
        <v>-13.331752008054204</v>
      </c>
    </row>
    <row r="72" spans="1:22" x14ac:dyDescent="0.35">
      <c r="B72">
        <f t="shared" si="7"/>
        <v>2042</v>
      </c>
      <c r="C72" s="70">
        <f>TIM_Output!AH38/1000</f>
        <v>7.6764044942502014</v>
      </c>
      <c r="D72" s="1">
        <f t="shared" si="27"/>
        <v>0.37219477700428399</v>
      </c>
      <c r="E72" s="2">
        <f t="shared" si="25"/>
        <v>1.5244999437454785E-2</v>
      </c>
      <c r="F72" s="2">
        <f t="shared" si="24"/>
        <v>10.421453756119952</v>
      </c>
      <c r="G72" s="2">
        <f t="shared" si="24"/>
        <v>4.0399248509255177</v>
      </c>
      <c r="H72" s="2">
        <f t="shared" si="26"/>
        <v>19.713828190740362</v>
      </c>
      <c r="I72" s="2"/>
      <c r="J72" s="2"/>
      <c r="K72" s="74">
        <f t="shared" si="8"/>
        <v>0.711410855361721</v>
      </c>
      <c r="L72" s="73"/>
      <c r="M72" s="3">
        <f t="shared" si="12"/>
        <v>0.82574663269725757</v>
      </c>
      <c r="N72" s="3">
        <f t="shared" si="13"/>
        <v>0.40317536251009112</v>
      </c>
      <c r="O72" s="3">
        <f t="shared" si="14"/>
        <v>0.40558149909356356</v>
      </c>
      <c r="U72" s="2">
        <f t="shared" si="28"/>
        <v>-2.42395491055531</v>
      </c>
      <c r="V72" s="2">
        <f t="shared" si="29"/>
        <v>-15.755706918609514</v>
      </c>
    </row>
    <row r="73" spans="1:22" x14ac:dyDescent="0.35">
      <c r="B73">
        <f t="shared" si="7"/>
        <v>2043</v>
      </c>
      <c r="C73" s="70">
        <f>TIM_Output!AH39/1000</f>
        <v>6.7168539324689203</v>
      </c>
      <c r="D73" s="1">
        <f t="shared" si="27"/>
        <v>0.37219477700428399</v>
      </c>
      <c r="E73" s="2">
        <f t="shared" si="25"/>
        <v>1.5244999437454785E-2</v>
      </c>
      <c r="F73" s="2">
        <f t="shared" si="24"/>
        <v>10.421453756119952</v>
      </c>
      <c r="G73" s="2">
        <f t="shared" si="24"/>
        <v>4.0399248509255177</v>
      </c>
      <c r="H73" s="2">
        <f t="shared" si="26"/>
        <v>18.552281386412805</v>
      </c>
      <c r="I73" s="2"/>
      <c r="J73" s="2"/>
      <c r="K73" s="74">
        <f t="shared" si="8"/>
        <v>0.72841464556801205</v>
      </c>
      <c r="L73" s="73"/>
      <c r="M73" s="3">
        <f t="shared" si="12"/>
        <v>0.84752830361010056</v>
      </c>
      <c r="N73" s="3">
        <f t="shared" si="13"/>
        <v>0.40317536251009112</v>
      </c>
      <c r="O73" s="3">
        <f t="shared" si="14"/>
        <v>0.40558149909356356</v>
      </c>
      <c r="U73" s="2">
        <f t="shared" si="28"/>
        <v>-2.6259511531015858</v>
      </c>
      <c r="V73" s="2">
        <f t="shared" si="29"/>
        <v>-18.381658071711101</v>
      </c>
    </row>
    <row r="74" spans="1:22" x14ac:dyDescent="0.35">
      <c r="B74">
        <f t="shared" si="7"/>
        <v>2044</v>
      </c>
      <c r="C74" s="70">
        <f>TIM_Output!AH40/1000</f>
        <v>5.7573033706876462</v>
      </c>
      <c r="D74" s="1">
        <f t="shared" si="27"/>
        <v>0.37219477700428399</v>
      </c>
      <c r="E74" s="2">
        <f t="shared" si="25"/>
        <v>1.5244999437454785E-2</v>
      </c>
      <c r="F74" s="2">
        <f t="shared" si="24"/>
        <v>10.421453756119952</v>
      </c>
      <c r="G74" s="2">
        <f t="shared" si="24"/>
        <v>4.0399248509255177</v>
      </c>
      <c r="H74" s="2">
        <f t="shared" si="26"/>
        <v>17.390734582085255</v>
      </c>
      <c r="I74" s="2"/>
      <c r="J74" s="2"/>
      <c r="K74" s="74">
        <f t="shared" si="8"/>
        <v>0.745418435774303</v>
      </c>
      <c r="L74" s="73"/>
      <c r="M74" s="3">
        <f t="shared" si="12"/>
        <v>0.86930997452294334</v>
      </c>
      <c r="N74" s="3">
        <f t="shared" si="13"/>
        <v>0.40317536251009112</v>
      </c>
      <c r="O74" s="3">
        <f t="shared" si="14"/>
        <v>0.40558149909356356</v>
      </c>
      <c r="U74" s="2">
        <f t="shared" si="28"/>
        <v>-2.8279473956478616</v>
      </c>
      <c r="V74" s="2">
        <f t="shared" si="29"/>
        <v>-21.209605467358962</v>
      </c>
    </row>
    <row r="75" spans="1:22" x14ac:dyDescent="0.35">
      <c r="B75">
        <f t="shared" si="7"/>
        <v>2045</v>
      </c>
      <c r="C75" s="70">
        <f>TIM_Output!AH41/1000</f>
        <v>4.7977528089063748</v>
      </c>
      <c r="D75" s="1">
        <f t="shared" si="27"/>
        <v>0.37219477700428399</v>
      </c>
      <c r="E75" s="2">
        <f t="shared" si="25"/>
        <v>1.5244999437454785E-2</v>
      </c>
      <c r="F75" s="2">
        <f t="shared" si="24"/>
        <v>10.421453756119952</v>
      </c>
      <c r="G75" s="2">
        <f t="shared" si="24"/>
        <v>4.0399248509255177</v>
      </c>
      <c r="H75" s="2">
        <f t="shared" si="26"/>
        <v>16.229187777757708</v>
      </c>
      <c r="I75" s="2"/>
      <c r="J75" s="2"/>
      <c r="K75" s="74">
        <f t="shared" si="8"/>
        <v>0.76242222598059395</v>
      </c>
      <c r="L75" s="73"/>
      <c r="M75" s="3">
        <f t="shared" si="12"/>
        <v>0.89109164543578601</v>
      </c>
      <c r="N75" s="3">
        <f t="shared" si="13"/>
        <v>0.40317536251009112</v>
      </c>
      <c r="O75" s="3">
        <f t="shared" si="14"/>
        <v>0.40558149909356356</v>
      </c>
      <c r="U75" s="2">
        <f t="shared" si="28"/>
        <v>-3.0299436381941374</v>
      </c>
      <c r="V75" s="2">
        <f t="shared" si="29"/>
        <v>-24.239549105553099</v>
      </c>
    </row>
    <row r="76" spans="1:22" x14ac:dyDescent="0.35">
      <c r="B76">
        <f t="shared" si="7"/>
        <v>2046</v>
      </c>
      <c r="C76" s="70">
        <f>TIM_Output!AH42/1000</f>
        <v>3.8382022471251056</v>
      </c>
      <c r="D76" s="1">
        <f t="shared" si="27"/>
        <v>0.37219477700428399</v>
      </c>
      <c r="E76" s="2">
        <f t="shared" si="25"/>
        <v>1.5244999437454785E-2</v>
      </c>
      <c r="F76" s="2">
        <f t="shared" si="24"/>
        <v>10.421453756119952</v>
      </c>
      <c r="G76" s="2">
        <f t="shared" si="24"/>
        <v>4.0399248509255177</v>
      </c>
      <c r="H76" s="2">
        <f t="shared" si="26"/>
        <v>15.067640973430162</v>
      </c>
      <c r="I76" s="2"/>
      <c r="J76" s="2"/>
      <c r="K76" s="74">
        <f t="shared" si="8"/>
        <v>0.7794260161868849</v>
      </c>
      <c r="L76" s="73"/>
      <c r="M76" s="3">
        <f t="shared" si="12"/>
        <v>0.91287331634862867</v>
      </c>
      <c r="N76" s="3">
        <f t="shared" si="13"/>
        <v>0.40317536251009112</v>
      </c>
      <c r="O76" s="3">
        <f t="shared" si="14"/>
        <v>0.40558149909356356</v>
      </c>
      <c r="U76" s="2">
        <f t="shared" si="28"/>
        <v>-3.2319398807404132</v>
      </c>
      <c r="V76" s="2">
        <f t="shared" si="29"/>
        <v>-27.471488986293512</v>
      </c>
    </row>
    <row r="77" spans="1:22" x14ac:dyDescent="0.35">
      <c r="B77">
        <f t="shared" si="7"/>
        <v>2047</v>
      </c>
      <c r="C77" s="70">
        <f>TIM_Output!AH43/1000</f>
        <v>2.8786516853438182</v>
      </c>
      <c r="D77" s="1">
        <f t="shared" si="27"/>
        <v>0.37219477700428399</v>
      </c>
      <c r="E77" s="2">
        <f t="shared" si="25"/>
        <v>1.5244999437454785E-2</v>
      </c>
      <c r="F77" s="2">
        <f t="shared" ref="F77:G90" si="31">D77*F$5</f>
        <v>10.421453756119952</v>
      </c>
      <c r="G77" s="2">
        <f t="shared" si="31"/>
        <v>4.0399248509255177</v>
      </c>
      <c r="H77" s="2">
        <f t="shared" si="26"/>
        <v>13.906094169102598</v>
      </c>
      <c r="I77" s="2"/>
      <c r="J77" s="2"/>
      <c r="K77" s="74">
        <f t="shared" si="8"/>
        <v>0.79642980639317607</v>
      </c>
      <c r="L77" s="73"/>
      <c r="M77" s="3">
        <f t="shared" si="12"/>
        <v>0.93465498726147178</v>
      </c>
      <c r="N77" s="3">
        <f t="shared" si="13"/>
        <v>0.40317536251009112</v>
      </c>
      <c r="O77" s="3">
        <f t="shared" si="14"/>
        <v>0.40558149909356356</v>
      </c>
      <c r="U77" s="2">
        <f t="shared" si="28"/>
        <v>-3.433936123286689</v>
      </c>
      <c r="V77" s="2">
        <f t="shared" si="29"/>
        <v>-30.9054251095802</v>
      </c>
    </row>
    <row r="78" spans="1:22" x14ac:dyDescent="0.35">
      <c r="B78">
        <f t="shared" si="7"/>
        <v>2048</v>
      </c>
      <c r="C78" s="70">
        <f>TIM_Output!AH44/1000</f>
        <v>1.9191011235625475</v>
      </c>
      <c r="D78" s="1">
        <f t="shared" si="27"/>
        <v>0.37219477700428399</v>
      </c>
      <c r="E78" s="2">
        <f t="shared" si="25"/>
        <v>1.5244999437454785E-2</v>
      </c>
      <c r="F78" s="2">
        <f t="shared" si="31"/>
        <v>10.421453756119952</v>
      </c>
      <c r="G78" s="2">
        <f t="shared" si="31"/>
        <v>4.0399248509255177</v>
      </c>
      <c r="H78" s="2">
        <f t="shared" si="26"/>
        <v>12.744547364775052</v>
      </c>
      <c r="I78" s="2"/>
      <c r="J78" s="2"/>
      <c r="K78" s="74">
        <f t="shared" si="8"/>
        <v>0.81343359659946701</v>
      </c>
      <c r="L78" s="73"/>
      <c r="M78" s="3">
        <f t="shared" si="12"/>
        <v>0.95643665817431445</v>
      </c>
      <c r="N78" s="3">
        <f t="shared" si="13"/>
        <v>0.40317536251009112</v>
      </c>
      <c r="O78" s="3">
        <f t="shared" si="14"/>
        <v>0.40558149909356356</v>
      </c>
      <c r="U78" s="2">
        <f t="shared" si="28"/>
        <v>-3.6359323658329648</v>
      </c>
      <c r="V78" s="2">
        <f t="shared" si="29"/>
        <v>-34.541357475413164</v>
      </c>
    </row>
    <row r="79" spans="1:22" x14ac:dyDescent="0.35">
      <c r="A79">
        <f>-A80/20</f>
        <v>-0.20199624254627588</v>
      </c>
      <c r="B79">
        <f t="shared" si="7"/>
        <v>2049</v>
      </c>
      <c r="C79" s="70">
        <f>TIM_Output!AH45/1000</f>
        <v>0.95955056178127618</v>
      </c>
      <c r="D79" s="1">
        <f t="shared" si="27"/>
        <v>0.37219477700428399</v>
      </c>
      <c r="E79" s="2">
        <f t="shared" si="25"/>
        <v>1.5244999437454785E-2</v>
      </c>
      <c r="F79" s="2">
        <f t="shared" si="31"/>
        <v>10.421453756119952</v>
      </c>
      <c r="G79" s="2">
        <f t="shared" si="31"/>
        <v>4.0399248509255177</v>
      </c>
      <c r="H79" s="2">
        <f t="shared" si="26"/>
        <v>11.583000560447505</v>
      </c>
      <c r="I79" s="78"/>
      <c r="J79" s="2"/>
      <c r="K79" s="74">
        <f t="shared" si="8"/>
        <v>0.83043738680575796</v>
      </c>
      <c r="L79" s="73"/>
      <c r="M79" s="3">
        <f t="shared" si="12"/>
        <v>0.97821832908715722</v>
      </c>
      <c r="N79" s="3">
        <f t="shared" si="13"/>
        <v>0.40317536251009112</v>
      </c>
      <c r="O79" s="3">
        <f t="shared" si="14"/>
        <v>0.40558149909356356</v>
      </c>
      <c r="U79" s="2">
        <f t="shared" si="28"/>
        <v>-3.8379286083792405</v>
      </c>
      <c r="V79" s="2">
        <f t="shared" si="29"/>
        <v>-38.379286083792408</v>
      </c>
    </row>
    <row r="80" spans="1:22" x14ac:dyDescent="0.35">
      <c r="A80" s="2">
        <f>A82+A83</f>
        <v>4.0399248509255177</v>
      </c>
      <c r="B80">
        <f t="shared" si="7"/>
        <v>2050</v>
      </c>
      <c r="C80" s="70">
        <f>TIM_Output!AH46/1000</f>
        <v>2.1382833571495492E-15</v>
      </c>
      <c r="D80" s="1">
        <f t="shared" si="27"/>
        <v>0.37219477700428399</v>
      </c>
      <c r="E80" s="2">
        <f t="shared" si="25"/>
        <v>1.5244999437454785E-2</v>
      </c>
      <c r="F80" s="2">
        <f t="shared" si="31"/>
        <v>10.421453756119952</v>
      </c>
      <c r="G80" s="2">
        <f t="shared" si="31"/>
        <v>4.0399248509255177</v>
      </c>
      <c r="H80" s="2">
        <f t="shared" si="26"/>
        <v>10.421453756119956</v>
      </c>
      <c r="I80" s="78"/>
      <c r="J80" s="2"/>
      <c r="K80" s="74">
        <f t="shared" si="8"/>
        <v>0.84744117701204891</v>
      </c>
      <c r="L80" s="73"/>
      <c r="M80" s="3">
        <f t="shared" si="12"/>
        <v>1</v>
      </c>
      <c r="N80" s="3">
        <f t="shared" si="13"/>
        <v>0.40317536251009112</v>
      </c>
      <c r="O80" s="3">
        <f t="shared" si="14"/>
        <v>0.40558149909356356</v>
      </c>
      <c r="P80" s="3">
        <f>M80</f>
        <v>1</v>
      </c>
      <c r="Q80" s="3">
        <f t="shared" ref="Q80:R80" si="32">N80</f>
        <v>0.40317536251009112</v>
      </c>
      <c r="R80" s="3">
        <f t="shared" si="32"/>
        <v>0.40558149909356356</v>
      </c>
      <c r="S80" s="3">
        <f>K80</f>
        <v>0.84744117701204891</v>
      </c>
      <c r="T80" s="3"/>
      <c r="U80" s="2">
        <f t="shared" si="28"/>
        <v>-4.0399248509255168</v>
      </c>
      <c r="V80" s="2">
        <f t="shared" si="29"/>
        <v>-42.419210934717924</v>
      </c>
    </row>
    <row r="81" spans="1:22" x14ac:dyDescent="0.35">
      <c r="B81">
        <f t="shared" si="7"/>
        <v>2051</v>
      </c>
      <c r="C81" s="2">
        <v>0</v>
      </c>
      <c r="D81" s="1">
        <f t="shared" si="27"/>
        <v>0.37219477700428399</v>
      </c>
      <c r="E81" s="2">
        <f t="shared" si="25"/>
        <v>1.5244999437454785E-2</v>
      </c>
      <c r="F81" s="2">
        <f t="shared" si="31"/>
        <v>10.421453756119952</v>
      </c>
      <c r="G81" s="2">
        <f>G80</f>
        <v>4.0399248509255177</v>
      </c>
      <c r="H81" s="2">
        <f t="shared" ref="H81:H90" si="33">SUM(F81:G81)+C81</f>
        <v>14.46137860704547</v>
      </c>
      <c r="I81" s="78"/>
      <c r="J81" s="2"/>
      <c r="K81" s="74">
        <f t="shared" si="8"/>
        <v>0.78830104218632613</v>
      </c>
      <c r="L81" s="73"/>
      <c r="M81" s="3">
        <f t="shared" si="12"/>
        <v>1</v>
      </c>
      <c r="N81" s="3">
        <f t="shared" ref="N81:N90" si="34">1-D81/D$48</f>
        <v>0.40317536251009112</v>
      </c>
      <c r="O81" s="3">
        <f t="shared" ref="O81:O90" si="35">1-E81/E$48</f>
        <v>0.40558149909356356</v>
      </c>
      <c r="U81" s="2">
        <f>U80</f>
        <v>-4.0399248509255168</v>
      </c>
      <c r="V81" s="2">
        <f t="shared" si="29"/>
        <v>-46.45913578564344</v>
      </c>
    </row>
    <row r="82" spans="1:22" x14ac:dyDescent="0.35">
      <c r="A82">
        <f>IF(InputOutput!B6="Yes",F79,0)</f>
        <v>0</v>
      </c>
      <c r="B82">
        <f t="shared" si="7"/>
        <v>2052</v>
      </c>
      <c r="C82" s="2">
        <f>C81</f>
        <v>0</v>
      </c>
      <c r="D82" s="1">
        <f t="shared" si="27"/>
        <v>0.37219477700428399</v>
      </c>
      <c r="E82" s="2">
        <f t="shared" si="25"/>
        <v>1.5244999437454785E-2</v>
      </c>
      <c r="F82" s="2">
        <f t="shared" si="31"/>
        <v>10.421453756119952</v>
      </c>
      <c r="G82" s="2">
        <f t="shared" ref="G82:G90" si="36">G81</f>
        <v>4.0399248509255177</v>
      </c>
      <c r="H82" s="2">
        <f t="shared" si="33"/>
        <v>14.46137860704547</v>
      </c>
      <c r="I82" s="78"/>
      <c r="J82" s="2"/>
      <c r="K82" s="74">
        <f t="shared" si="8"/>
        <v>0.78830104218632613</v>
      </c>
      <c r="L82" s="73"/>
      <c r="M82" s="3">
        <f t="shared" si="12"/>
        <v>1</v>
      </c>
      <c r="N82" s="3">
        <f t="shared" si="34"/>
        <v>0.40317536251009112</v>
      </c>
      <c r="O82" s="3">
        <f t="shared" si="35"/>
        <v>0.40558149909356356</v>
      </c>
      <c r="U82" s="2">
        <f t="shared" ref="U82:U93" si="37">U81</f>
        <v>-4.0399248509255168</v>
      </c>
      <c r="V82" s="2">
        <f t="shared" si="29"/>
        <v>-50.499060636568956</v>
      </c>
    </row>
    <row r="83" spans="1:22" x14ac:dyDescent="0.35">
      <c r="A83">
        <f>IF(InputOutput!B7="Yes",G80,0)</f>
        <v>4.0399248509255177</v>
      </c>
      <c r="B83">
        <f t="shared" si="7"/>
        <v>2053</v>
      </c>
      <c r="C83" s="2">
        <f t="shared" ref="C83:C90" si="38">C82</f>
        <v>0</v>
      </c>
      <c r="D83" s="1">
        <f t="shared" si="27"/>
        <v>0.37219477700428399</v>
      </c>
      <c r="E83" s="2">
        <f t="shared" si="25"/>
        <v>1.5244999437454785E-2</v>
      </c>
      <c r="F83" s="2">
        <f t="shared" si="31"/>
        <v>10.421453756119952</v>
      </c>
      <c r="G83" s="2">
        <f t="shared" si="36"/>
        <v>4.0399248509255177</v>
      </c>
      <c r="H83" s="2">
        <f t="shared" si="33"/>
        <v>14.46137860704547</v>
      </c>
      <c r="I83" s="78"/>
      <c r="J83" s="2"/>
      <c r="K83" s="74">
        <f t="shared" si="8"/>
        <v>0.78830104218632613</v>
      </c>
      <c r="L83" s="73"/>
      <c r="M83" s="3">
        <f t="shared" si="12"/>
        <v>1</v>
      </c>
      <c r="N83" s="3">
        <f t="shared" si="34"/>
        <v>0.40317536251009112</v>
      </c>
      <c r="O83" s="3">
        <f t="shared" si="35"/>
        <v>0.40558149909356356</v>
      </c>
      <c r="U83" s="2">
        <f t="shared" si="37"/>
        <v>-4.0399248509255168</v>
      </c>
      <c r="V83" s="2">
        <f t="shared" si="29"/>
        <v>-54.538985487494472</v>
      </c>
    </row>
    <row r="84" spans="1:22" x14ac:dyDescent="0.35">
      <c r="B84">
        <f t="shared" si="7"/>
        <v>2054</v>
      </c>
      <c r="C84" s="2">
        <f t="shared" si="38"/>
        <v>0</v>
      </c>
      <c r="D84" s="1">
        <f t="shared" si="27"/>
        <v>0.37219477700428399</v>
      </c>
      <c r="E84" s="2">
        <f t="shared" si="25"/>
        <v>1.5244999437454785E-2</v>
      </c>
      <c r="F84" s="2">
        <f t="shared" si="31"/>
        <v>10.421453756119952</v>
      </c>
      <c r="G84" s="2">
        <f t="shared" si="36"/>
        <v>4.0399248509255177</v>
      </c>
      <c r="H84" s="2">
        <f t="shared" si="33"/>
        <v>14.46137860704547</v>
      </c>
      <c r="I84" s="78"/>
      <c r="J84" s="2"/>
      <c r="K84" s="74">
        <f t="shared" si="8"/>
        <v>0.78830104218632613</v>
      </c>
      <c r="L84" s="73"/>
      <c r="M84" s="3">
        <f t="shared" si="12"/>
        <v>1</v>
      </c>
      <c r="N84" s="3">
        <f t="shared" si="34"/>
        <v>0.40317536251009112</v>
      </c>
      <c r="O84" s="3">
        <f t="shared" si="35"/>
        <v>0.40558149909356356</v>
      </c>
      <c r="U84" s="2">
        <f t="shared" si="37"/>
        <v>-4.0399248509255168</v>
      </c>
      <c r="V84" s="2">
        <f t="shared" si="29"/>
        <v>-58.578910338419988</v>
      </c>
    </row>
    <row r="85" spans="1:22" x14ac:dyDescent="0.35">
      <c r="B85">
        <f t="shared" si="7"/>
        <v>2055</v>
      </c>
      <c r="C85" s="2">
        <f t="shared" si="38"/>
        <v>0</v>
      </c>
      <c r="D85" s="1">
        <f t="shared" si="27"/>
        <v>0.37219477700428399</v>
      </c>
      <c r="E85" s="2">
        <f t="shared" si="25"/>
        <v>1.5244999437454785E-2</v>
      </c>
      <c r="F85" s="2">
        <f t="shared" si="31"/>
        <v>10.421453756119952</v>
      </c>
      <c r="G85" s="2">
        <f t="shared" si="36"/>
        <v>4.0399248509255177</v>
      </c>
      <c r="H85" s="2">
        <f t="shared" si="33"/>
        <v>14.46137860704547</v>
      </c>
      <c r="I85" s="78"/>
      <c r="J85" s="2"/>
      <c r="K85" s="74">
        <f t="shared" si="8"/>
        <v>0.78830104218632613</v>
      </c>
      <c r="L85" s="73"/>
      <c r="M85" s="3">
        <f t="shared" si="12"/>
        <v>1</v>
      </c>
      <c r="N85" s="3">
        <f t="shared" si="34"/>
        <v>0.40317536251009112</v>
      </c>
      <c r="O85" s="3">
        <f t="shared" si="35"/>
        <v>0.40558149909356356</v>
      </c>
      <c r="U85" s="2">
        <f t="shared" si="37"/>
        <v>-4.0399248509255168</v>
      </c>
      <c r="V85" s="2">
        <f t="shared" si="29"/>
        <v>-62.618835189345504</v>
      </c>
    </row>
    <row r="86" spans="1:22" x14ac:dyDescent="0.35">
      <c r="B86">
        <f t="shared" ref="B86:B90" si="39">B85+1</f>
        <v>2056</v>
      </c>
      <c r="C86" s="2">
        <f t="shared" si="38"/>
        <v>0</v>
      </c>
      <c r="D86" s="1">
        <f t="shared" si="27"/>
        <v>0.37219477700428399</v>
      </c>
      <c r="E86" s="2">
        <f t="shared" si="25"/>
        <v>1.5244999437454785E-2</v>
      </c>
      <c r="F86" s="2">
        <f t="shared" si="31"/>
        <v>10.421453756119952</v>
      </c>
      <c r="G86" s="2">
        <f t="shared" si="36"/>
        <v>4.0399248509255177</v>
      </c>
      <c r="H86" s="2">
        <f t="shared" si="33"/>
        <v>14.46137860704547</v>
      </c>
      <c r="I86" s="78"/>
      <c r="J86" s="2"/>
      <c r="K86" s="74">
        <f t="shared" si="8"/>
        <v>0.78830104218632613</v>
      </c>
      <c r="L86" s="73"/>
      <c r="M86" s="3">
        <f t="shared" si="12"/>
        <v>1</v>
      </c>
      <c r="N86" s="3">
        <f t="shared" si="34"/>
        <v>0.40317536251009112</v>
      </c>
      <c r="O86" s="3">
        <f t="shared" si="35"/>
        <v>0.40558149909356356</v>
      </c>
      <c r="U86" s="2">
        <f t="shared" si="37"/>
        <v>-4.0399248509255168</v>
      </c>
      <c r="V86" s="2">
        <f t="shared" si="29"/>
        <v>-66.658760040271019</v>
      </c>
    </row>
    <row r="87" spans="1:22" x14ac:dyDescent="0.35">
      <c r="B87">
        <f t="shared" si="39"/>
        <v>2057</v>
      </c>
      <c r="C87" s="2">
        <f t="shared" si="38"/>
        <v>0</v>
      </c>
      <c r="D87" s="1">
        <f t="shared" si="27"/>
        <v>0.37219477700428399</v>
      </c>
      <c r="E87" s="2">
        <f t="shared" si="25"/>
        <v>1.5244999437454785E-2</v>
      </c>
      <c r="F87" s="2">
        <f t="shared" si="31"/>
        <v>10.421453756119952</v>
      </c>
      <c r="G87" s="2">
        <f t="shared" si="36"/>
        <v>4.0399248509255177</v>
      </c>
      <c r="H87" s="2">
        <f t="shared" si="33"/>
        <v>14.46137860704547</v>
      </c>
      <c r="I87" s="78"/>
      <c r="J87" s="2"/>
      <c r="K87" s="74">
        <f t="shared" si="8"/>
        <v>0.78830104218632613</v>
      </c>
      <c r="L87" s="73"/>
      <c r="M87" s="3">
        <f t="shared" si="12"/>
        <v>1</v>
      </c>
      <c r="N87" s="3">
        <f t="shared" si="34"/>
        <v>0.40317536251009112</v>
      </c>
      <c r="O87" s="3">
        <f t="shared" si="35"/>
        <v>0.40558149909356356</v>
      </c>
      <c r="U87" s="2">
        <f t="shared" si="37"/>
        <v>-4.0399248509255168</v>
      </c>
      <c r="V87" s="2">
        <f t="shared" si="29"/>
        <v>-70.698684891196535</v>
      </c>
    </row>
    <row r="88" spans="1:22" x14ac:dyDescent="0.35">
      <c r="B88">
        <f t="shared" si="39"/>
        <v>2058</v>
      </c>
      <c r="C88" s="2">
        <f t="shared" si="38"/>
        <v>0</v>
      </c>
      <c r="D88" s="1">
        <f t="shared" si="27"/>
        <v>0.37219477700428399</v>
      </c>
      <c r="E88" s="2">
        <f t="shared" si="25"/>
        <v>1.5244999437454785E-2</v>
      </c>
      <c r="F88" s="2">
        <f t="shared" si="31"/>
        <v>10.421453756119952</v>
      </c>
      <c r="G88" s="2">
        <f t="shared" si="36"/>
        <v>4.0399248509255177</v>
      </c>
      <c r="H88" s="2">
        <f t="shared" si="33"/>
        <v>14.46137860704547</v>
      </c>
      <c r="I88" s="78"/>
      <c r="J88" s="2"/>
      <c r="K88" s="74">
        <f t="shared" si="8"/>
        <v>0.78830104218632613</v>
      </c>
      <c r="L88" s="73"/>
      <c r="M88" s="3">
        <f t="shared" si="12"/>
        <v>1</v>
      </c>
      <c r="N88" s="3">
        <f t="shared" si="34"/>
        <v>0.40317536251009112</v>
      </c>
      <c r="O88" s="3">
        <f t="shared" si="35"/>
        <v>0.40558149909356356</v>
      </c>
      <c r="U88" s="2">
        <f t="shared" si="37"/>
        <v>-4.0399248509255168</v>
      </c>
      <c r="V88" s="2">
        <f t="shared" si="29"/>
        <v>-74.738609742122051</v>
      </c>
    </row>
    <row r="89" spans="1:22" x14ac:dyDescent="0.35">
      <c r="B89">
        <f t="shared" si="39"/>
        <v>2059</v>
      </c>
      <c r="C89" s="2">
        <f t="shared" si="38"/>
        <v>0</v>
      </c>
      <c r="D89" s="1">
        <f t="shared" si="27"/>
        <v>0.37219477700428399</v>
      </c>
      <c r="E89" s="2">
        <f t="shared" si="25"/>
        <v>1.5244999437454785E-2</v>
      </c>
      <c r="F89" s="2">
        <f t="shared" si="31"/>
        <v>10.421453756119952</v>
      </c>
      <c r="G89" s="2">
        <f t="shared" si="36"/>
        <v>4.0399248509255177</v>
      </c>
      <c r="H89" s="2">
        <f t="shared" si="33"/>
        <v>14.46137860704547</v>
      </c>
      <c r="I89" s="78"/>
      <c r="J89" s="2"/>
      <c r="K89" s="74">
        <f t="shared" si="8"/>
        <v>0.78830104218632613</v>
      </c>
      <c r="L89" s="73"/>
      <c r="M89" s="3">
        <f t="shared" si="12"/>
        <v>1</v>
      </c>
      <c r="N89" s="3">
        <f t="shared" si="34"/>
        <v>0.40317536251009112</v>
      </c>
      <c r="O89" s="3">
        <f t="shared" si="35"/>
        <v>0.40558149909356356</v>
      </c>
      <c r="U89" s="2">
        <f t="shared" si="37"/>
        <v>-4.0399248509255168</v>
      </c>
      <c r="V89" s="2">
        <f t="shared" si="29"/>
        <v>-78.778534593047567</v>
      </c>
    </row>
    <row r="90" spans="1:22" x14ac:dyDescent="0.35">
      <c r="B90">
        <f t="shared" si="39"/>
        <v>2060</v>
      </c>
      <c r="C90" s="2">
        <f t="shared" si="38"/>
        <v>0</v>
      </c>
      <c r="D90" s="1">
        <f t="shared" si="27"/>
        <v>0.37219477700428399</v>
      </c>
      <c r="E90" s="2">
        <f t="shared" si="25"/>
        <v>1.5244999437454785E-2</v>
      </c>
      <c r="F90" s="2">
        <f t="shared" si="31"/>
        <v>10.421453756119952</v>
      </c>
      <c r="G90" s="2">
        <f t="shared" si="36"/>
        <v>4.0399248509255177</v>
      </c>
      <c r="H90" s="2">
        <f t="shared" si="33"/>
        <v>14.46137860704547</v>
      </c>
      <c r="I90" s="78"/>
      <c r="J90" s="2"/>
      <c r="K90" s="74">
        <f t="shared" si="8"/>
        <v>0.78830104218632613</v>
      </c>
      <c r="L90" s="73"/>
      <c r="M90" s="3">
        <f t="shared" si="12"/>
        <v>1</v>
      </c>
      <c r="N90" s="3">
        <f t="shared" si="34"/>
        <v>0.40317536251009112</v>
      </c>
      <c r="O90" s="3">
        <f t="shared" si="35"/>
        <v>0.40558149909356356</v>
      </c>
      <c r="U90" s="2">
        <f t="shared" si="37"/>
        <v>-4.0399248509255168</v>
      </c>
      <c r="V90" s="2">
        <f t="shared" si="29"/>
        <v>-82.818459443973083</v>
      </c>
    </row>
    <row r="91" spans="1:22" x14ac:dyDescent="0.35">
      <c r="B91" s="134"/>
      <c r="C91" s="135"/>
      <c r="D91" s="138"/>
      <c r="E91" s="135"/>
      <c r="F91" s="135"/>
      <c r="G91" s="135"/>
      <c r="H91" s="135"/>
      <c r="I91" s="139"/>
      <c r="J91" s="135"/>
      <c r="K91" s="140"/>
      <c r="L91" s="140"/>
      <c r="M91" s="140"/>
      <c r="N91" s="140"/>
      <c r="O91" s="140"/>
      <c r="U91" s="2">
        <f t="shared" si="37"/>
        <v>-4.0399248509255168</v>
      </c>
      <c r="V91" s="2">
        <f t="shared" si="29"/>
        <v>-86.858384294898599</v>
      </c>
    </row>
    <row r="92" spans="1:22" x14ac:dyDescent="0.35">
      <c r="B92" s="134"/>
      <c r="C92" s="135"/>
      <c r="D92" s="138"/>
      <c r="E92" s="135"/>
      <c r="F92" s="135"/>
      <c r="G92" s="135"/>
      <c r="H92" s="135"/>
      <c r="I92" s="139"/>
      <c r="J92" s="135"/>
      <c r="K92" s="140"/>
      <c r="L92" s="140"/>
      <c r="M92" s="140"/>
      <c r="N92" s="140"/>
      <c r="O92" s="140"/>
      <c r="U92" s="2">
        <f t="shared" si="37"/>
        <v>-4.0399248509255168</v>
      </c>
      <c r="V92" s="2">
        <f t="shared" si="29"/>
        <v>-90.898309145824115</v>
      </c>
    </row>
    <row r="93" spans="1:22" x14ac:dyDescent="0.35">
      <c r="B93" s="134"/>
      <c r="C93" s="135"/>
      <c r="D93" s="138"/>
      <c r="E93" s="135"/>
      <c r="F93" s="135"/>
      <c r="G93" s="135"/>
      <c r="H93" s="135"/>
      <c r="I93" s="139"/>
      <c r="J93" s="135"/>
      <c r="K93" s="140"/>
      <c r="L93" s="140"/>
      <c r="M93" s="140"/>
      <c r="N93" s="140"/>
      <c r="O93" s="140"/>
      <c r="U93" s="2">
        <f t="shared" si="37"/>
        <v>-4.0399248509255168</v>
      </c>
      <c r="V93" s="2">
        <f t="shared" si="29"/>
        <v>-94.938233996749631</v>
      </c>
    </row>
    <row r="94" spans="1:22" x14ac:dyDescent="0.35">
      <c r="B94" s="134"/>
      <c r="C94" s="135"/>
      <c r="D94" s="138"/>
      <c r="E94" s="135"/>
      <c r="F94" s="135"/>
      <c r="G94" s="135"/>
      <c r="H94" s="135"/>
      <c r="I94" s="139"/>
      <c r="J94" s="135"/>
      <c r="K94" s="140"/>
      <c r="L94" s="140"/>
      <c r="M94" s="140"/>
      <c r="N94" s="140"/>
      <c r="O94" s="140"/>
    </row>
    <row r="95" spans="1:22" x14ac:dyDescent="0.35">
      <c r="B95" s="134"/>
      <c r="C95" s="135"/>
      <c r="D95" s="138"/>
      <c r="E95" s="135"/>
      <c r="F95" s="135"/>
      <c r="G95" s="135"/>
      <c r="H95" s="135"/>
      <c r="I95" s="139"/>
      <c r="J95" s="135"/>
      <c r="K95" s="140"/>
      <c r="L95" s="140"/>
      <c r="M95" s="140"/>
      <c r="N95" s="140"/>
      <c r="O95" s="140"/>
    </row>
    <row r="96" spans="1:22" x14ac:dyDescent="0.35">
      <c r="B96" s="134"/>
      <c r="C96" s="135"/>
      <c r="D96" s="138"/>
      <c r="E96" s="135"/>
      <c r="F96" s="135"/>
      <c r="G96" s="135"/>
      <c r="H96" s="135"/>
      <c r="I96" s="139"/>
      <c r="J96" s="135"/>
      <c r="K96" s="140"/>
      <c r="L96" s="140"/>
      <c r="M96" s="140"/>
      <c r="N96" s="140"/>
      <c r="O96" s="140"/>
    </row>
    <row r="97" spans="2:15" x14ac:dyDescent="0.35">
      <c r="B97" s="134"/>
      <c r="C97" s="135"/>
      <c r="D97" s="138"/>
      <c r="E97" s="135"/>
      <c r="F97" s="135"/>
      <c r="G97" s="135"/>
      <c r="H97" s="135"/>
      <c r="I97" s="139"/>
      <c r="J97" s="135"/>
      <c r="K97" s="140"/>
      <c r="L97" s="140"/>
      <c r="M97" s="140"/>
      <c r="N97" s="140"/>
      <c r="O97" s="140"/>
    </row>
    <row r="98" spans="2:15" x14ac:dyDescent="0.35">
      <c r="B98" s="134"/>
      <c r="C98" s="135"/>
      <c r="D98" s="138"/>
      <c r="E98" s="135"/>
      <c r="F98" s="135"/>
      <c r="G98" s="135"/>
      <c r="H98" s="135"/>
      <c r="I98" s="139"/>
      <c r="J98" s="135"/>
      <c r="K98" s="140"/>
      <c r="L98" s="140"/>
      <c r="M98" s="140"/>
      <c r="N98" s="140"/>
      <c r="O98" s="140"/>
    </row>
    <row r="99" spans="2:15" x14ac:dyDescent="0.35">
      <c r="B99" s="134"/>
      <c r="C99" s="135"/>
      <c r="D99" s="138"/>
      <c r="E99" s="135"/>
      <c r="F99" s="135"/>
      <c r="G99" s="135"/>
      <c r="H99" s="135"/>
      <c r="I99" s="139"/>
      <c r="J99" s="135"/>
      <c r="K99" s="140"/>
      <c r="L99" s="140"/>
      <c r="M99" s="140"/>
      <c r="N99" s="140"/>
      <c r="O99" s="140"/>
    </row>
    <row r="100" spans="2:15" x14ac:dyDescent="0.35">
      <c r="B100" s="134"/>
      <c r="C100" s="135"/>
      <c r="D100" s="138"/>
      <c r="E100" s="135"/>
      <c r="F100" s="135"/>
      <c r="G100" s="135"/>
      <c r="H100" s="135"/>
      <c r="I100" s="139"/>
      <c r="J100" s="135"/>
      <c r="K100" s="140"/>
      <c r="L100" s="140"/>
      <c r="M100" s="140"/>
      <c r="N100" s="140"/>
      <c r="O100" s="140"/>
    </row>
    <row r="101" spans="2:15" x14ac:dyDescent="0.35">
      <c r="B101" s="134"/>
      <c r="C101" s="135"/>
      <c r="D101" s="138"/>
      <c r="E101" s="135"/>
      <c r="F101" s="135"/>
      <c r="G101" s="135"/>
      <c r="H101" s="135"/>
      <c r="I101" s="139"/>
      <c r="J101" s="135"/>
      <c r="K101" s="140"/>
      <c r="L101" s="140"/>
      <c r="M101" s="140"/>
      <c r="N101" s="140"/>
      <c r="O101" s="140"/>
    </row>
    <row r="102" spans="2:15" x14ac:dyDescent="0.35">
      <c r="B102" s="134"/>
      <c r="C102" s="135"/>
      <c r="D102" s="138"/>
      <c r="E102" s="135"/>
      <c r="F102" s="135"/>
      <c r="G102" s="135"/>
      <c r="H102" s="135"/>
      <c r="I102" s="139"/>
      <c r="J102" s="135"/>
      <c r="K102" s="140"/>
      <c r="L102" s="140"/>
      <c r="M102" s="140"/>
      <c r="N102" s="140"/>
      <c r="O102" s="140"/>
    </row>
    <row r="103" spans="2:15" x14ac:dyDescent="0.35">
      <c r="B103" s="134"/>
      <c r="C103" s="135"/>
      <c r="D103" s="138"/>
      <c r="E103" s="135"/>
      <c r="F103" s="135"/>
      <c r="G103" s="135"/>
      <c r="H103" s="135"/>
      <c r="I103" s="139"/>
      <c r="J103" s="135"/>
      <c r="K103" s="140"/>
      <c r="L103" s="140"/>
      <c r="M103" s="140"/>
      <c r="N103" s="140"/>
      <c r="O103" s="140"/>
    </row>
    <row r="104" spans="2:15" x14ac:dyDescent="0.35">
      <c r="B104" s="134"/>
      <c r="C104" s="135"/>
      <c r="D104" s="138"/>
      <c r="E104" s="135"/>
      <c r="F104" s="135"/>
      <c r="G104" s="135"/>
      <c r="H104" s="135"/>
      <c r="I104" s="139"/>
      <c r="J104" s="135"/>
      <c r="K104" s="140"/>
      <c r="L104" s="140"/>
      <c r="M104" s="140"/>
      <c r="N104" s="140"/>
      <c r="O104" s="140"/>
    </row>
    <row r="105" spans="2:15" x14ac:dyDescent="0.35">
      <c r="B105" s="134"/>
      <c r="C105" s="135"/>
      <c r="D105" s="138"/>
      <c r="E105" s="135"/>
      <c r="F105" s="135"/>
      <c r="G105" s="135"/>
      <c r="H105" s="135"/>
      <c r="I105" s="139"/>
      <c r="J105" s="135"/>
      <c r="K105" s="140"/>
      <c r="L105" s="140"/>
      <c r="M105" s="140"/>
      <c r="N105" s="140"/>
      <c r="O105" s="140"/>
    </row>
    <row r="106" spans="2:15" x14ac:dyDescent="0.35">
      <c r="B106" s="134"/>
      <c r="C106" s="135"/>
      <c r="D106" s="138"/>
      <c r="E106" s="135"/>
      <c r="F106" s="135"/>
      <c r="G106" s="135"/>
      <c r="H106" s="135"/>
      <c r="I106" s="139"/>
      <c r="J106" s="135"/>
      <c r="K106" s="140"/>
      <c r="L106" s="140"/>
      <c r="M106" s="140"/>
      <c r="N106" s="140"/>
      <c r="O106" s="140"/>
    </row>
    <row r="107" spans="2:15" x14ac:dyDescent="0.35">
      <c r="B107" s="134"/>
      <c r="C107" s="135"/>
      <c r="D107" s="138"/>
      <c r="E107" s="135"/>
      <c r="F107" s="135"/>
      <c r="G107" s="135"/>
      <c r="H107" s="135"/>
      <c r="I107" s="139"/>
      <c r="J107" s="135"/>
      <c r="K107" s="140"/>
      <c r="L107" s="140"/>
      <c r="M107" s="140"/>
      <c r="N107" s="140"/>
      <c r="O107" s="140"/>
    </row>
    <row r="108" spans="2:15" x14ac:dyDescent="0.35">
      <c r="B108" s="134"/>
      <c r="C108" s="135"/>
      <c r="D108" s="138"/>
      <c r="E108" s="135"/>
      <c r="F108" s="135"/>
      <c r="G108" s="135"/>
      <c r="H108" s="135"/>
      <c r="I108" s="139"/>
      <c r="J108" s="135"/>
      <c r="K108" s="140"/>
      <c r="L108" s="140"/>
      <c r="M108" s="140"/>
      <c r="N108" s="140"/>
      <c r="O108" s="140"/>
    </row>
    <row r="109" spans="2:15" x14ac:dyDescent="0.35">
      <c r="B109" s="134"/>
      <c r="C109" s="135"/>
      <c r="D109" s="138"/>
      <c r="E109" s="135"/>
      <c r="F109" s="135"/>
      <c r="G109" s="135"/>
      <c r="H109" s="135"/>
      <c r="I109" s="139"/>
      <c r="J109" s="135"/>
      <c r="K109" s="140"/>
      <c r="L109" s="140"/>
      <c r="M109" s="140"/>
      <c r="N109" s="140"/>
      <c r="O109" s="140"/>
    </row>
    <row r="110" spans="2:15" x14ac:dyDescent="0.35">
      <c r="B110" s="134"/>
      <c r="C110" s="135"/>
      <c r="D110" s="138"/>
      <c r="E110" s="135"/>
      <c r="F110" s="135"/>
      <c r="G110" s="135"/>
      <c r="H110" s="135"/>
      <c r="I110" s="139"/>
      <c r="J110" s="135"/>
      <c r="K110" s="140"/>
      <c r="L110" s="140"/>
      <c r="M110" s="140"/>
      <c r="N110" s="140"/>
      <c r="O110" s="140"/>
    </row>
    <row r="111" spans="2:15" x14ac:dyDescent="0.35">
      <c r="B111" s="134"/>
      <c r="C111" s="135"/>
      <c r="D111" s="138"/>
      <c r="E111" s="135"/>
      <c r="F111" s="135"/>
      <c r="G111" s="135"/>
      <c r="H111" s="135"/>
      <c r="I111" s="139"/>
      <c r="J111" s="135"/>
      <c r="K111" s="140"/>
      <c r="L111" s="140"/>
      <c r="M111" s="140"/>
      <c r="N111" s="140"/>
      <c r="O111" s="140"/>
    </row>
    <row r="112" spans="2:15" x14ac:dyDescent="0.35">
      <c r="B112" s="134"/>
      <c r="C112" s="135"/>
      <c r="D112" s="138"/>
      <c r="E112" s="135"/>
      <c r="F112" s="135"/>
      <c r="G112" s="135"/>
      <c r="H112" s="135"/>
      <c r="I112" s="139"/>
      <c r="J112" s="135"/>
      <c r="K112" s="140"/>
      <c r="L112" s="140"/>
      <c r="M112" s="140"/>
      <c r="N112" s="140"/>
      <c r="O112" s="140"/>
    </row>
    <row r="113" spans="2:15" x14ac:dyDescent="0.35">
      <c r="B113" s="134"/>
      <c r="C113" s="135"/>
      <c r="D113" s="138"/>
      <c r="E113" s="135"/>
      <c r="F113" s="135"/>
      <c r="G113" s="135"/>
      <c r="H113" s="135"/>
      <c r="I113" s="139"/>
      <c r="J113" s="135"/>
      <c r="K113" s="140"/>
      <c r="L113" s="140"/>
      <c r="M113" s="140"/>
      <c r="N113" s="140"/>
      <c r="O113" s="140"/>
    </row>
    <row r="114" spans="2:15" x14ac:dyDescent="0.35">
      <c r="B114" s="134"/>
      <c r="C114" s="135"/>
      <c r="D114" s="138"/>
      <c r="E114" s="135"/>
      <c r="F114" s="135"/>
      <c r="G114" s="135"/>
      <c r="H114" s="135"/>
      <c r="I114" s="139"/>
      <c r="J114" s="135"/>
      <c r="K114" s="140"/>
      <c r="L114" s="140"/>
      <c r="M114" s="140"/>
      <c r="N114" s="140"/>
      <c r="O114" s="140"/>
    </row>
    <row r="115" spans="2:15" x14ac:dyDescent="0.35">
      <c r="B115" s="134"/>
      <c r="C115" s="135"/>
      <c r="D115" s="138"/>
      <c r="E115" s="135"/>
      <c r="F115" s="135"/>
      <c r="G115" s="135"/>
      <c r="H115" s="135"/>
      <c r="I115" s="139"/>
      <c r="J115" s="135"/>
      <c r="K115" s="140"/>
      <c r="L115" s="140"/>
      <c r="M115" s="140"/>
      <c r="N115" s="140"/>
      <c r="O115" s="140"/>
    </row>
    <row r="116" spans="2:15" x14ac:dyDescent="0.35">
      <c r="B116" s="134"/>
      <c r="C116" s="135"/>
      <c r="D116" s="138"/>
      <c r="E116" s="135"/>
      <c r="F116" s="135"/>
      <c r="G116" s="135"/>
      <c r="H116" s="135"/>
      <c r="I116" s="139"/>
      <c r="J116" s="135"/>
      <c r="K116" s="140"/>
      <c r="L116" s="140"/>
      <c r="M116" s="140"/>
      <c r="N116" s="140"/>
      <c r="O116" s="140"/>
    </row>
    <row r="117" spans="2:15" x14ac:dyDescent="0.35">
      <c r="B117" s="134"/>
      <c r="C117" s="135"/>
      <c r="D117" s="138"/>
      <c r="E117" s="135"/>
      <c r="F117" s="135"/>
      <c r="G117" s="135"/>
      <c r="H117" s="135"/>
      <c r="I117" s="139"/>
      <c r="J117" s="135"/>
      <c r="K117" s="140"/>
      <c r="L117" s="140"/>
      <c r="M117" s="140"/>
      <c r="N117" s="140"/>
      <c r="O117" s="140"/>
    </row>
    <row r="118" spans="2:15" x14ac:dyDescent="0.35">
      <c r="B118" s="134"/>
      <c r="C118" s="135"/>
      <c r="D118" s="138"/>
      <c r="E118" s="135"/>
      <c r="F118" s="135"/>
      <c r="G118" s="135"/>
      <c r="H118" s="135"/>
      <c r="I118" s="139"/>
      <c r="J118" s="135"/>
      <c r="K118" s="140"/>
      <c r="L118" s="140"/>
      <c r="M118" s="140"/>
      <c r="N118" s="140"/>
      <c r="O118" s="140"/>
    </row>
    <row r="119" spans="2:15" x14ac:dyDescent="0.35">
      <c r="B119" s="134"/>
      <c r="C119" s="135"/>
      <c r="D119" s="138"/>
      <c r="E119" s="135"/>
      <c r="F119" s="135"/>
      <c r="G119" s="135"/>
      <c r="H119" s="135"/>
      <c r="I119" s="139"/>
      <c r="J119" s="135"/>
      <c r="K119" s="140"/>
      <c r="L119" s="140"/>
      <c r="M119" s="140"/>
      <c r="N119" s="140"/>
      <c r="O119" s="140"/>
    </row>
    <row r="120" spans="2:15" x14ac:dyDescent="0.35">
      <c r="B120" s="134"/>
      <c r="C120" s="135"/>
      <c r="D120" s="138"/>
      <c r="E120" s="135"/>
      <c r="F120" s="135"/>
      <c r="G120" s="135"/>
      <c r="H120" s="135"/>
      <c r="I120" s="139"/>
      <c r="J120" s="135"/>
      <c r="K120" s="140"/>
      <c r="L120" s="140"/>
      <c r="M120" s="140"/>
      <c r="N120" s="140"/>
      <c r="O120" s="140"/>
    </row>
    <row r="121" spans="2:15" x14ac:dyDescent="0.35">
      <c r="B121" s="134"/>
      <c r="C121" s="135"/>
      <c r="D121" s="138"/>
      <c r="E121" s="135"/>
      <c r="F121" s="135"/>
      <c r="G121" s="135"/>
      <c r="H121" s="135"/>
      <c r="I121" s="139"/>
      <c r="J121" s="135"/>
      <c r="K121" s="140"/>
      <c r="L121" s="140"/>
      <c r="M121" s="140"/>
      <c r="N121" s="140"/>
      <c r="O121" s="140"/>
    </row>
    <row r="122" spans="2:15" x14ac:dyDescent="0.35">
      <c r="B122" s="134"/>
      <c r="C122" s="135"/>
      <c r="D122" s="138"/>
      <c r="E122" s="135"/>
      <c r="F122" s="135"/>
      <c r="G122" s="135"/>
      <c r="H122" s="135"/>
      <c r="I122" s="139"/>
      <c r="J122" s="135"/>
      <c r="K122" s="140"/>
      <c r="L122" s="140"/>
      <c r="M122" s="140"/>
      <c r="N122" s="140"/>
      <c r="O122" s="140"/>
    </row>
    <row r="123" spans="2:15" x14ac:dyDescent="0.35">
      <c r="B123" s="134"/>
      <c r="C123" s="135"/>
      <c r="D123" s="138"/>
      <c r="E123" s="135"/>
      <c r="F123" s="135"/>
      <c r="G123" s="135"/>
      <c r="H123" s="135"/>
      <c r="I123" s="139"/>
      <c r="J123" s="135"/>
      <c r="K123" s="140"/>
      <c r="L123" s="140"/>
      <c r="M123" s="140"/>
      <c r="N123" s="140"/>
      <c r="O123" s="140"/>
    </row>
    <row r="124" spans="2:15" x14ac:dyDescent="0.35">
      <c r="B124" s="134"/>
      <c r="C124" s="135"/>
      <c r="D124" s="138"/>
      <c r="E124" s="135"/>
      <c r="F124" s="135"/>
      <c r="G124" s="135"/>
      <c r="H124" s="135"/>
      <c r="I124" s="139"/>
      <c r="J124" s="135"/>
      <c r="K124" s="140"/>
      <c r="L124" s="140"/>
      <c r="M124" s="140"/>
      <c r="N124" s="140"/>
      <c r="O124" s="140"/>
    </row>
    <row r="125" spans="2:15" x14ac:dyDescent="0.35">
      <c r="B125" s="134"/>
      <c r="C125" s="135"/>
      <c r="D125" s="138"/>
      <c r="E125" s="135"/>
      <c r="F125" s="135"/>
      <c r="G125" s="135"/>
      <c r="H125" s="135"/>
      <c r="I125" s="139"/>
      <c r="J125" s="135"/>
      <c r="K125" s="140"/>
      <c r="L125" s="140"/>
      <c r="M125" s="140"/>
      <c r="N125" s="140"/>
      <c r="O125" s="140"/>
    </row>
    <row r="126" spans="2:15" x14ac:dyDescent="0.35">
      <c r="B126" s="134"/>
      <c r="C126" s="135"/>
      <c r="D126" s="138"/>
      <c r="E126" s="135"/>
      <c r="F126" s="135"/>
      <c r="G126" s="135"/>
      <c r="H126" s="135"/>
      <c r="I126" s="139"/>
      <c r="J126" s="135"/>
      <c r="K126" s="140"/>
      <c r="L126" s="140"/>
      <c r="M126" s="140"/>
      <c r="N126" s="140"/>
      <c r="O126" s="140"/>
    </row>
    <row r="127" spans="2:15" x14ac:dyDescent="0.35">
      <c r="B127" s="134"/>
      <c r="C127" s="135"/>
      <c r="D127" s="138"/>
      <c r="E127" s="135"/>
      <c r="F127" s="135"/>
      <c r="G127" s="135"/>
      <c r="H127" s="135"/>
      <c r="I127" s="139"/>
      <c r="J127" s="135"/>
      <c r="K127" s="140"/>
      <c r="L127" s="140"/>
      <c r="M127" s="140"/>
      <c r="N127" s="140"/>
      <c r="O127" s="140"/>
    </row>
    <row r="128" spans="2:15" x14ac:dyDescent="0.35">
      <c r="B128" s="134"/>
      <c r="C128" s="135"/>
      <c r="D128" s="138"/>
      <c r="E128" s="135"/>
      <c r="F128" s="135"/>
      <c r="G128" s="135"/>
      <c r="H128" s="135"/>
      <c r="I128" s="139"/>
      <c r="J128" s="135"/>
      <c r="K128" s="140"/>
      <c r="L128" s="140"/>
      <c r="M128" s="140"/>
      <c r="N128" s="140"/>
      <c r="O128" s="140"/>
    </row>
    <row r="129" spans="2:15" x14ac:dyDescent="0.35">
      <c r="B129" s="134"/>
      <c r="C129" s="135"/>
      <c r="D129" s="138"/>
      <c r="E129" s="135"/>
      <c r="F129" s="135"/>
      <c r="G129" s="135"/>
      <c r="H129" s="135"/>
      <c r="I129" s="139"/>
      <c r="J129" s="135"/>
      <c r="K129" s="140"/>
      <c r="L129" s="140"/>
      <c r="M129" s="140"/>
      <c r="N129" s="140"/>
      <c r="O129" s="140"/>
    </row>
    <row r="130" spans="2:15" x14ac:dyDescent="0.35">
      <c r="B130" s="134"/>
      <c r="C130" s="135"/>
      <c r="D130" s="138"/>
      <c r="E130" s="135"/>
      <c r="F130" s="135"/>
      <c r="G130" s="135"/>
      <c r="H130" s="135"/>
      <c r="I130" s="139"/>
      <c r="J130" s="135"/>
      <c r="K130" s="140"/>
      <c r="L130" s="140"/>
      <c r="M130" s="140"/>
      <c r="N130" s="140"/>
      <c r="O130" s="140"/>
    </row>
    <row r="131" spans="2:15" x14ac:dyDescent="0.35">
      <c r="G131" s="2"/>
    </row>
  </sheetData>
  <sheetProtection algorithmName="SHA-512" hashValue="BRc17QdkcneXcVSaNg/CUygVCzemmTxirC3cRNZ6p92LvYNz8Q6lHxKjZCsZx/aRCWoDcbzfqNma7/rTGaqWsg==" saltValue="b3Vqrv2rzQZBZN4qEjbcaQ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AG131"/>
  <sheetViews>
    <sheetView topLeftCell="A75" zoomScale="80" zoomScaleNormal="80" workbookViewId="0">
      <selection activeCell="H56" sqref="H56"/>
    </sheetView>
  </sheetViews>
  <sheetFormatPr defaultRowHeight="14.5" x14ac:dyDescent="0.35"/>
  <cols>
    <col min="8" max="8" width="12.7265625" customWidth="1"/>
    <col min="9" max="9" width="10.54296875" customWidth="1"/>
    <col min="11" max="15" width="10.453125" customWidth="1"/>
    <col min="17" max="17" width="9.7265625" customWidth="1"/>
    <col min="20" max="20" width="12.7265625" customWidth="1"/>
    <col min="24" max="24" width="8.54296875" customWidth="1"/>
  </cols>
  <sheetData>
    <row r="1" spans="1:33" ht="58" x14ac:dyDescent="0.35">
      <c r="B1" s="75" t="s">
        <v>208</v>
      </c>
      <c r="C1" s="3">
        <f>InputOutput!B12</f>
        <v>0.61</v>
      </c>
      <c r="D1" s="3">
        <f>InputOutput!C12</f>
        <v>0.33</v>
      </c>
      <c r="E1" s="3">
        <f>InputOutput!D12</f>
        <v>0.33</v>
      </c>
      <c r="L1" t="s">
        <v>225</v>
      </c>
      <c r="M1">
        <f>4*M10</f>
        <v>100</v>
      </c>
      <c r="N1">
        <f>4*N10</f>
        <v>112</v>
      </c>
      <c r="Z1" s="3">
        <f>D1</f>
        <v>0.33</v>
      </c>
      <c r="AE1" s="3">
        <f>E1</f>
        <v>0.33</v>
      </c>
    </row>
    <row r="2" spans="1:33" x14ac:dyDescent="0.35">
      <c r="C2">
        <f>(C51-C5)/9</f>
        <v>2.4732073355634783</v>
      </c>
      <c r="D2">
        <f>(D51-D5)/9</f>
        <v>2.1017277781252459E-2</v>
      </c>
      <c r="E2">
        <f>(E51-E5)/9</f>
        <v>7.8945679486701109E-4</v>
      </c>
      <c r="I2" s="134"/>
      <c r="L2" t="s">
        <v>224</v>
      </c>
      <c r="M2">
        <f>3.75*M10</f>
        <v>93.75</v>
      </c>
      <c r="N2">
        <f>3.75*N10</f>
        <v>105</v>
      </c>
      <c r="Z2">
        <f>(Z51-Z5)/9</f>
        <v>2.0387411802472537E-2</v>
      </c>
      <c r="AE2">
        <f>(AE51-AE5)/9</f>
        <v>7.4392473901467007E-4</v>
      </c>
    </row>
    <row r="3" spans="1:33" x14ac:dyDescent="0.35">
      <c r="C3">
        <f>C60/20</f>
        <v>0.87931621173470964</v>
      </c>
      <c r="I3" s="134"/>
      <c r="Z3" s="130">
        <f>Z48</f>
        <v>0.60557344778995981</v>
      </c>
      <c r="AE3" s="130">
        <f>AE48</f>
        <v>2.434199193708618E-2</v>
      </c>
    </row>
    <row r="4" spans="1:33" x14ac:dyDescent="0.35">
      <c r="C4" s="3">
        <f>(1-C1)</f>
        <v>0.39</v>
      </c>
      <c r="D4" s="3">
        <f t="shared" ref="D4:E4" si="0">(1-D1)</f>
        <v>0.66999999999999993</v>
      </c>
      <c r="E4" s="3">
        <f t="shared" si="0"/>
        <v>0.66999999999999993</v>
      </c>
      <c r="I4" s="134"/>
      <c r="Z4" s="3">
        <f t="shared" ref="Z4" si="1">(1-Z1)</f>
        <v>0.66999999999999993</v>
      </c>
      <c r="AE4" s="3">
        <f t="shared" ref="AE4" si="2">(1-AE1)</f>
        <v>0.66999999999999993</v>
      </c>
    </row>
    <row r="5" spans="1:33" x14ac:dyDescent="0.35">
      <c r="A5" t="s">
        <v>0</v>
      </c>
      <c r="C5">
        <f>C48*C4</f>
        <v>17.180716786702018</v>
      </c>
      <c r="D5">
        <f>D48*D4</f>
        <v>0.41782876397606261</v>
      </c>
      <c r="E5">
        <f>E48*E4</f>
        <v>1.7183431551203429E-2</v>
      </c>
      <c r="F5">
        <f>N10</f>
        <v>28</v>
      </c>
      <c r="G5">
        <v>265</v>
      </c>
      <c r="I5" s="2"/>
      <c r="L5" t="s">
        <v>212</v>
      </c>
      <c r="M5">
        <v>0.75</v>
      </c>
      <c r="N5">
        <f>M5</f>
        <v>0.75</v>
      </c>
      <c r="Z5">
        <f>Z3*Z4</f>
        <v>0.40573421001927301</v>
      </c>
      <c r="AE5">
        <f>AE3*AE4</f>
        <v>1.630913459784774E-2</v>
      </c>
    </row>
    <row r="6" spans="1:33" x14ac:dyDescent="0.35">
      <c r="B6" t="s">
        <v>1</v>
      </c>
      <c r="C6" t="s">
        <v>5</v>
      </c>
      <c r="D6" t="s">
        <v>5</v>
      </c>
      <c r="E6" t="s">
        <v>5</v>
      </c>
      <c r="F6" t="s">
        <v>7</v>
      </c>
      <c r="G6" t="s">
        <v>10</v>
      </c>
      <c r="L6" t="s">
        <v>213</v>
      </c>
      <c r="M6">
        <v>0.25</v>
      </c>
      <c r="N6">
        <f t="shared" ref="N6:N8" si="3">M6</f>
        <v>0.25</v>
      </c>
      <c r="Z6" s="88">
        <f>1-Z60/Z48</f>
        <v>0.32999999999999996</v>
      </c>
      <c r="AA6" s="88">
        <f>1-AA60/AA48</f>
        <v>0.50969877826891841</v>
      </c>
      <c r="AB6" s="88">
        <f>1-AB60/AB48</f>
        <v>0.33520159634071323</v>
      </c>
      <c r="AE6" s="88">
        <f>1-AE60/AE48</f>
        <v>0.32999999999999963</v>
      </c>
      <c r="AF6" s="88">
        <f t="shared" ref="AF6:AG6" si="4">1-AF60/AF48</f>
        <v>0.50969877826891841</v>
      </c>
      <c r="AG6" s="88">
        <f t="shared" si="4"/>
        <v>0.33914311520921137</v>
      </c>
    </row>
    <row r="7" spans="1:33" ht="43.5" x14ac:dyDescent="0.35">
      <c r="B7" t="s">
        <v>1</v>
      </c>
      <c r="C7" t="s">
        <v>244</v>
      </c>
      <c r="D7" t="s">
        <v>3</v>
      </c>
      <c r="E7" t="s">
        <v>4</v>
      </c>
      <c r="F7" t="str">
        <f>D7</f>
        <v>CH4</v>
      </c>
      <c r="G7" t="str">
        <f>E7</f>
        <v>N2O</v>
      </c>
      <c r="H7" t="s">
        <v>8</v>
      </c>
      <c r="J7" s="75"/>
      <c r="K7" s="75" t="s">
        <v>207</v>
      </c>
      <c r="L7" t="s">
        <v>214</v>
      </c>
      <c r="M7">
        <v>100</v>
      </c>
      <c r="N7">
        <f t="shared" si="3"/>
        <v>100</v>
      </c>
      <c r="U7" t="s">
        <v>237</v>
      </c>
      <c r="V7" t="s">
        <v>240</v>
      </c>
    </row>
    <row r="8" spans="1:33" x14ac:dyDescent="0.35">
      <c r="C8" s="2"/>
      <c r="D8" s="1"/>
      <c r="E8" s="1"/>
      <c r="F8" s="2"/>
      <c r="G8" s="2"/>
      <c r="H8" s="2"/>
      <c r="L8" t="s">
        <v>218</v>
      </c>
      <c r="M8">
        <v>20</v>
      </c>
      <c r="N8">
        <f t="shared" si="3"/>
        <v>20</v>
      </c>
    </row>
    <row r="9" spans="1:33" x14ac:dyDescent="0.35">
      <c r="C9" s="2"/>
      <c r="D9" s="1"/>
      <c r="E9" s="1"/>
      <c r="F9" s="2"/>
      <c r="G9" s="2"/>
      <c r="H9" s="2"/>
      <c r="M9" t="s">
        <v>216</v>
      </c>
      <c r="N9" s="76" t="s">
        <v>217</v>
      </c>
    </row>
    <row r="10" spans="1:33" x14ac:dyDescent="0.35">
      <c r="C10" s="2"/>
      <c r="D10" s="1"/>
      <c r="E10" s="1"/>
      <c r="F10" s="2"/>
      <c r="G10" s="2"/>
      <c r="H10" s="2"/>
      <c r="L10" t="s">
        <v>215</v>
      </c>
      <c r="M10">
        <v>25</v>
      </c>
      <c r="N10" s="76">
        <v>28</v>
      </c>
    </row>
    <row r="11" spans="1:33" x14ac:dyDescent="0.35">
      <c r="C11" s="2"/>
      <c r="D11" s="1"/>
      <c r="E11" s="1"/>
      <c r="F11" s="2"/>
      <c r="G11" s="2"/>
      <c r="H11" s="2"/>
      <c r="L11" t="s">
        <v>219</v>
      </c>
      <c r="M11">
        <f>M5*M7/M8</f>
        <v>3.75</v>
      </c>
      <c r="N11" s="76">
        <f>N5*N7/N8</f>
        <v>3.75</v>
      </c>
    </row>
    <row r="12" spans="1:33" x14ac:dyDescent="0.35">
      <c r="C12" s="2"/>
      <c r="D12" s="1"/>
      <c r="E12" s="1"/>
      <c r="F12" s="2"/>
      <c r="G12" s="2"/>
      <c r="H12" s="2"/>
      <c r="L12" t="s">
        <v>220</v>
      </c>
      <c r="M12" s="1">
        <f>D49</f>
        <v>0.60727248931136102</v>
      </c>
      <c r="N12" s="69">
        <f>M12</f>
        <v>0.60727248931136102</v>
      </c>
    </row>
    <row r="13" spans="1:33" x14ac:dyDescent="0.35">
      <c r="C13" s="2"/>
      <c r="D13" s="1"/>
      <c r="E13" s="1"/>
      <c r="F13" s="2"/>
      <c r="G13" s="2"/>
      <c r="H13" s="2"/>
      <c r="L13" t="s">
        <v>221</v>
      </c>
      <c r="M13" s="1">
        <f>D29</f>
        <v>0.60985790475145341</v>
      </c>
      <c r="N13" s="69">
        <f>M13</f>
        <v>0.60985790475145341</v>
      </c>
    </row>
    <row r="14" spans="1:33" x14ac:dyDescent="0.35">
      <c r="C14" s="2"/>
      <c r="D14" s="1"/>
      <c r="E14" s="1"/>
      <c r="F14" s="2"/>
      <c r="G14" s="2"/>
      <c r="H14" s="2"/>
      <c r="L14" s="76" t="s">
        <v>222</v>
      </c>
      <c r="M14" s="77">
        <f>(M11*(M12-M13)+M12*M6)*M10</f>
        <v>3.5530703606873453</v>
      </c>
      <c r="N14" s="77">
        <f>(N11*(N12-N13)+N12*N6)*N10</f>
        <v>3.9794388039698267</v>
      </c>
    </row>
    <row r="15" spans="1:33" x14ac:dyDescent="0.35">
      <c r="C15" s="2"/>
      <c r="D15" s="1"/>
      <c r="E15" s="1"/>
      <c r="F15" s="2"/>
      <c r="G15" s="2"/>
      <c r="H15" s="2"/>
      <c r="L15" s="76" t="s">
        <v>223</v>
      </c>
      <c r="M15" s="77">
        <f>M12*M1-M13*M2</f>
        <v>3.5530703606873431</v>
      </c>
      <c r="N15" s="77">
        <f>N12*N1-N13*N2</f>
        <v>3.9794388039698276</v>
      </c>
    </row>
    <row r="16" spans="1:33" x14ac:dyDescent="0.35">
      <c r="C16" s="2"/>
      <c r="D16" s="1"/>
      <c r="E16" s="1"/>
      <c r="F16" s="2"/>
      <c r="G16" s="2"/>
      <c r="H16" s="2"/>
    </row>
    <row r="17" spans="2:10" x14ac:dyDescent="0.35">
      <c r="C17" s="2"/>
      <c r="D17" s="1"/>
      <c r="E17" s="1"/>
      <c r="F17" s="2"/>
      <c r="G17" s="2"/>
      <c r="H17" s="2"/>
    </row>
    <row r="18" spans="2:10" x14ac:dyDescent="0.35">
      <c r="C18" s="2"/>
      <c r="D18" s="1"/>
      <c r="E18" s="1"/>
      <c r="F18" s="2"/>
      <c r="G18" s="2"/>
      <c r="H18" s="2"/>
    </row>
    <row r="19" spans="2:10" x14ac:dyDescent="0.35">
      <c r="C19" s="2"/>
      <c r="D19" s="1"/>
      <c r="E19" s="1"/>
      <c r="F19" s="2"/>
      <c r="G19" s="2"/>
      <c r="H19" s="2"/>
    </row>
    <row r="20" spans="2:10" x14ac:dyDescent="0.35">
      <c r="B20">
        <v>1990</v>
      </c>
      <c r="C20" s="68">
        <f>'CO2 1990-2019'!E80/1000</f>
        <v>37.503901917692637</v>
      </c>
      <c r="D20" s="69">
        <f>'CH4 1990-2019'!E80/1000</f>
        <v>0.56846617435307711</v>
      </c>
      <c r="E20" s="69">
        <f>'N2O 1990-2019'!E81/1000</f>
        <v>2.6227661646226468E-2</v>
      </c>
      <c r="F20" s="2">
        <f t="shared" ref="F20:G60" si="5">D20*F$5</f>
        <v>15.917052881886159</v>
      </c>
      <c r="G20" s="2">
        <f t="shared" si="5"/>
        <v>6.9503303362500137</v>
      </c>
      <c r="H20" s="2">
        <f t="shared" ref="H20:H60" si="6">SUM(F20:G20)+C20</f>
        <v>60.371285135828813</v>
      </c>
      <c r="I20" s="2"/>
      <c r="J20" s="2"/>
    </row>
    <row r="21" spans="2:10" x14ac:dyDescent="0.35">
      <c r="B21">
        <f>B20+1</f>
        <v>1991</v>
      </c>
      <c r="C21" s="68">
        <f>'CO2 1990-2019'!E81/1000</f>
        <v>38.099012193795097</v>
      </c>
      <c r="D21" s="69">
        <f>'CH4 1990-2019'!E81/1000</f>
        <v>0.57899497527056076</v>
      </c>
      <c r="E21" s="69">
        <f>'N2O 1990-2019'!E82/1000</f>
        <v>2.554114757699584E-2</v>
      </c>
      <c r="F21" s="2">
        <f t="shared" si="5"/>
        <v>16.2118593075757</v>
      </c>
      <c r="G21" s="2">
        <f t="shared" si="5"/>
        <v>6.7684041079038977</v>
      </c>
      <c r="H21" s="2">
        <f t="shared" si="6"/>
        <v>61.079275609274696</v>
      </c>
      <c r="I21" s="2"/>
      <c r="J21" s="2"/>
    </row>
    <row r="22" spans="2:10" x14ac:dyDescent="0.35">
      <c r="B22">
        <f t="shared" ref="B22:B85" si="7">B21+1</f>
        <v>1992</v>
      </c>
      <c r="C22" s="68">
        <f>'CO2 1990-2019'!E82/1000</f>
        <v>37.716183401651868</v>
      </c>
      <c r="D22" s="69">
        <f>'CH4 1990-2019'!E82/1000</f>
        <v>0.58638316837148285</v>
      </c>
      <c r="E22" s="69">
        <f>'N2O 1990-2019'!E83/1000</f>
        <v>2.5204417941327273E-2</v>
      </c>
      <c r="F22" s="2">
        <f t="shared" si="5"/>
        <v>16.418728714401521</v>
      </c>
      <c r="G22" s="2">
        <f t="shared" si="5"/>
        <v>6.6791707544517269</v>
      </c>
      <c r="H22" s="2">
        <f t="shared" si="6"/>
        <v>60.814082870505118</v>
      </c>
      <c r="I22" s="2"/>
      <c r="J22" s="2"/>
    </row>
    <row r="23" spans="2:10" x14ac:dyDescent="0.35">
      <c r="B23">
        <f t="shared" si="7"/>
        <v>1993</v>
      </c>
      <c r="C23" s="68">
        <f>'CO2 1990-2019'!E83/1000</f>
        <v>37.813894147276059</v>
      </c>
      <c r="D23" s="69">
        <f>'CH4 1990-2019'!E83/1000</f>
        <v>0.59483377727766906</v>
      </c>
      <c r="E23" s="69">
        <f>'N2O 1990-2019'!E84/1000</f>
        <v>2.5697521605793531E-2</v>
      </c>
      <c r="F23" s="2">
        <f t="shared" si="5"/>
        <v>16.655345763774733</v>
      </c>
      <c r="G23" s="2">
        <f t="shared" si="5"/>
        <v>6.8098432255352854</v>
      </c>
      <c r="H23" s="2">
        <f t="shared" si="6"/>
        <v>61.279083136586081</v>
      </c>
      <c r="I23" s="2"/>
      <c r="J23" s="2"/>
    </row>
    <row r="24" spans="2:10" x14ac:dyDescent="0.35">
      <c r="B24">
        <f t="shared" si="7"/>
        <v>1994</v>
      </c>
      <c r="C24" s="68">
        <f>'CO2 1990-2019'!E84/1000</f>
        <v>39.097461645272396</v>
      </c>
      <c r="D24" s="69">
        <f>'CH4 1990-2019'!E84/1000</f>
        <v>0.59526602098909942</v>
      </c>
      <c r="E24" s="69">
        <f>'N2O 1990-2019'!E85/1000</f>
        <v>2.6660195601452181E-2</v>
      </c>
      <c r="F24" s="2">
        <f t="shared" si="5"/>
        <v>16.667448587694786</v>
      </c>
      <c r="G24" s="2">
        <f t="shared" si="5"/>
        <v>7.0649518343848277</v>
      </c>
      <c r="H24" s="2">
        <f t="shared" si="6"/>
        <v>62.829862067352011</v>
      </c>
      <c r="I24" s="2"/>
      <c r="J24" s="2"/>
    </row>
    <row r="25" spans="2:10" x14ac:dyDescent="0.35">
      <c r="B25">
        <f t="shared" si="7"/>
        <v>1995</v>
      </c>
      <c r="C25" s="68">
        <f>'CO2 1990-2019'!E85/1000</f>
        <v>41.117756580617204</v>
      </c>
      <c r="D25" s="69">
        <f>'CH4 1990-2019'!E85/1000</f>
        <v>0.60059169683666336</v>
      </c>
      <c r="E25" s="69">
        <f>'N2O 1990-2019'!E86/1000</f>
        <v>2.7848538989904151E-2</v>
      </c>
      <c r="F25" s="2">
        <f t="shared" si="5"/>
        <v>16.816567511426573</v>
      </c>
      <c r="G25" s="2">
        <f t="shared" si="5"/>
        <v>7.3798628323245996</v>
      </c>
      <c r="H25" s="2">
        <f t="shared" si="6"/>
        <v>65.314186924368386</v>
      </c>
      <c r="I25" s="2"/>
      <c r="J25" s="2"/>
    </row>
    <row r="26" spans="2:10" x14ac:dyDescent="0.35">
      <c r="B26">
        <f t="shared" si="7"/>
        <v>1996</v>
      </c>
      <c r="C26" s="68">
        <f>'CO2 1990-2019'!E86/1000</f>
        <v>42.401848154429679</v>
      </c>
      <c r="D26" s="69">
        <f>'CH4 1990-2019'!E86/1000</f>
        <v>0.61511089079967096</v>
      </c>
      <c r="E26" s="69">
        <f>'N2O 1990-2019'!E87/1000</f>
        <v>2.8242940550096497E-2</v>
      </c>
      <c r="F26" s="2">
        <f t="shared" si="5"/>
        <v>17.223104942390787</v>
      </c>
      <c r="G26" s="2">
        <f t="shared" si="5"/>
        <v>7.484379245775572</v>
      </c>
      <c r="H26" s="2">
        <f t="shared" si="6"/>
        <v>67.109332342596034</v>
      </c>
      <c r="I26" s="2"/>
      <c r="J26" s="2"/>
    </row>
    <row r="27" spans="2:10" x14ac:dyDescent="0.35">
      <c r="B27">
        <f t="shared" si="7"/>
        <v>1997</v>
      </c>
      <c r="C27" s="68">
        <f>'CO2 1990-2019'!E87/1000</f>
        <v>43.245116683187582</v>
      </c>
      <c r="D27" s="69">
        <f>'CH4 1990-2019'!E87/1000</f>
        <v>0.61488733682276098</v>
      </c>
      <c r="E27" s="69">
        <f>'N2O 1990-2019'!E88/1000</f>
        <v>2.7991006485181408E-2</v>
      </c>
      <c r="F27" s="2">
        <f t="shared" si="5"/>
        <v>17.216845431037306</v>
      </c>
      <c r="G27" s="2">
        <f t="shared" si="5"/>
        <v>7.4176167185730728</v>
      </c>
      <c r="H27" s="2">
        <f t="shared" si="6"/>
        <v>67.879578832797961</v>
      </c>
      <c r="I27" s="2"/>
      <c r="J27" s="2"/>
    </row>
    <row r="28" spans="2:10" x14ac:dyDescent="0.35">
      <c r="B28">
        <f t="shared" si="7"/>
        <v>1998</v>
      </c>
      <c r="C28" s="68">
        <f>'CO2 1990-2019'!E88/1000</f>
        <v>44.87012369632712</v>
      </c>
      <c r="D28" s="69">
        <f>'CH4 1990-2019'!E88/1000</f>
        <v>0.62689098869315008</v>
      </c>
      <c r="E28" s="69">
        <f>'N2O 1990-2019'!E89/1000</f>
        <v>2.9429943506676829E-2</v>
      </c>
      <c r="F28" s="2">
        <f t="shared" si="5"/>
        <v>17.552947683408203</v>
      </c>
      <c r="G28" s="2">
        <f t="shared" si="5"/>
        <v>7.7989350292693596</v>
      </c>
      <c r="H28" s="2">
        <f t="shared" si="6"/>
        <v>70.222006409004678</v>
      </c>
      <c r="I28" s="2"/>
      <c r="J28" s="2"/>
    </row>
    <row r="29" spans="2:10" x14ac:dyDescent="0.35">
      <c r="B29">
        <f t="shared" si="7"/>
        <v>1999</v>
      </c>
      <c r="C29" s="68">
        <f>'CO2 1990-2019'!E89/1000</f>
        <v>46.906820617827236</v>
      </c>
      <c r="D29" s="69">
        <f>'CH4 1990-2019'!E89/1000</f>
        <v>0.60985790475145341</v>
      </c>
      <c r="E29" s="69">
        <f>'N2O 1990-2019'!E90/1000</f>
        <v>2.8645206014373741E-2</v>
      </c>
      <c r="F29" s="2">
        <f t="shared" si="5"/>
        <v>17.076021333040696</v>
      </c>
      <c r="G29" s="2">
        <f t="shared" si="5"/>
        <v>7.5909795938090419</v>
      </c>
      <c r="H29" s="2">
        <f t="shared" si="6"/>
        <v>71.573821544676974</v>
      </c>
      <c r="I29" s="2"/>
      <c r="J29" s="2"/>
    </row>
    <row r="30" spans="2:10" x14ac:dyDescent="0.35">
      <c r="B30">
        <f t="shared" si="7"/>
        <v>2000</v>
      </c>
      <c r="C30" s="68">
        <f>'CO2 1990-2019'!E90/1000</f>
        <v>51.264446064409647</v>
      </c>
      <c r="D30" s="69">
        <f>'CH4 1990-2019'!E90/1000</f>
        <v>0.59281659514673379</v>
      </c>
      <c r="E30" s="69">
        <f>'N2O 1990-2019'!E91/1000</f>
        <v>2.7713149439546961E-2</v>
      </c>
      <c r="F30" s="2">
        <f t="shared" si="5"/>
        <v>16.598864664108547</v>
      </c>
      <c r="G30" s="2">
        <f t="shared" si="5"/>
        <v>7.3439846014799448</v>
      </c>
      <c r="H30" s="2">
        <f t="shared" si="6"/>
        <v>75.207295329998146</v>
      </c>
      <c r="I30" s="2"/>
      <c r="J30" s="2"/>
    </row>
    <row r="31" spans="2:10" x14ac:dyDescent="0.35">
      <c r="B31">
        <f t="shared" si="7"/>
        <v>2001</v>
      </c>
      <c r="C31" s="68">
        <f>'CO2 1990-2019'!E91/1000</f>
        <v>54.663990010623849</v>
      </c>
      <c r="D31" s="69">
        <f>'CH4 1990-2019'!E91/1000</f>
        <v>0.60653930034350212</v>
      </c>
      <c r="E31" s="69">
        <f>'N2O 1990-2019'!E92/1000</f>
        <v>2.6361520111669961E-2</v>
      </c>
      <c r="F31" s="2">
        <f t="shared" si="5"/>
        <v>16.983100409618061</v>
      </c>
      <c r="G31" s="2">
        <f t="shared" si="5"/>
        <v>6.9858028295925401</v>
      </c>
      <c r="H31" s="2">
        <f t="shared" si="6"/>
        <v>78.632893249834453</v>
      </c>
      <c r="I31" s="2"/>
      <c r="J31" s="2"/>
    </row>
    <row r="32" spans="2:10" x14ac:dyDescent="0.35">
      <c r="B32">
        <f t="shared" si="7"/>
        <v>2002</v>
      </c>
      <c r="C32" s="68">
        <f>'CO2 1990-2019'!E92/1000</f>
        <v>53.050683185293025</v>
      </c>
      <c r="D32" s="69">
        <f>'CH4 1990-2019'!E92/1000</f>
        <v>0.59584131612224078</v>
      </c>
      <c r="E32" s="69">
        <f>'N2O 1990-2019'!E93/1000</f>
        <v>2.5205268301960501E-2</v>
      </c>
      <c r="F32" s="2">
        <f t="shared" si="5"/>
        <v>16.683556851422743</v>
      </c>
      <c r="G32" s="2">
        <f t="shared" si="5"/>
        <v>6.6793961000195328</v>
      </c>
      <c r="H32" s="2">
        <f t="shared" si="6"/>
        <v>76.413636136735306</v>
      </c>
      <c r="I32" s="2"/>
      <c r="J32" s="2"/>
    </row>
    <row r="33" spans="2:33" x14ac:dyDescent="0.35">
      <c r="B33">
        <f t="shared" si="7"/>
        <v>2003</v>
      </c>
      <c r="C33" s="68">
        <f>'CO2 1990-2019'!E93/1000</f>
        <v>52.911204011821269</v>
      </c>
      <c r="D33" s="69">
        <f>'CH4 1990-2019'!E93/1000</f>
        <v>0.6315771849487738</v>
      </c>
      <c r="E33" s="69">
        <f>'N2O 1990-2019'!E94/1000</f>
        <v>2.5051707160096713E-2</v>
      </c>
      <c r="F33" s="2">
        <f t="shared" si="5"/>
        <v>17.684161178565667</v>
      </c>
      <c r="G33" s="2">
        <f t="shared" si="5"/>
        <v>6.6387023974256287</v>
      </c>
      <c r="H33" s="2">
        <f t="shared" si="6"/>
        <v>77.234067587812561</v>
      </c>
      <c r="I33" s="2"/>
      <c r="J33" s="2"/>
    </row>
    <row r="34" spans="2:33" x14ac:dyDescent="0.35">
      <c r="B34">
        <f t="shared" si="7"/>
        <v>2004</v>
      </c>
      <c r="C34" s="68">
        <f>'CO2 1990-2019'!E94/1000</f>
        <v>51.897755100973896</v>
      </c>
      <c r="D34" s="69">
        <f>'CH4 1990-2019'!E94/1000</f>
        <v>0.58670195261344882</v>
      </c>
      <c r="E34" s="69">
        <f>'N2O 1990-2019'!E95/1000</f>
        <v>2.4462801837163501E-2</v>
      </c>
      <c r="F34" s="2">
        <f t="shared" si="5"/>
        <v>16.427654673176566</v>
      </c>
      <c r="G34" s="2">
        <f t="shared" si="5"/>
        <v>6.4826424868483281</v>
      </c>
      <c r="H34" s="2">
        <f t="shared" si="6"/>
        <v>74.808052260998792</v>
      </c>
      <c r="I34" s="2"/>
      <c r="J34" s="2"/>
    </row>
    <row r="35" spans="2:33" x14ac:dyDescent="0.35">
      <c r="B35">
        <f t="shared" si="7"/>
        <v>2005</v>
      </c>
      <c r="C35" s="68">
        <f>'CO2 1990-2019'!E95/1000</f>
        <v>54.59560870610084</v>
      </c>
      <c r="D35" s="69">
        <f>'CH4 1990-2019'!E95/1000</f>
        <v>0.57896199008081672</v>
      </c>
      <c r="E35" s="69">
        <f>'N2O 1990-2019'!E96/1000</f>
        <v>2.4090144176706841E-2</v>
      </c>
      <c r="F35" s="2">
        <f t="shared" si="5"/>
        <v>16.210935722262867</v>
      </c>
      <c r="G35" s="2">
        <f t="shared" si="5"/>
        <v>6.3838882068273133</v>
      </c>
      <c r="H35" s="2">
        <f t="shared" si="6"/>
        <v>77.19043263519103</v>
      </c>
      <c r="I35" s="2"/>
      <c r="J35" s="2"/>
    </row>
    <row r="36" spans="2:33" x14ac:dyDescent="0.35">
      <c r="B36">
        <f t="shared" si="7"/>
        <v>2006</v>
      </c>
      <c r="C36" s="68">
        <f>'CO2 1990-2019'!E96/1000</f>
        <v>54.461539202046147</v>
      </c>
      <c r="D36" s="69">
        <f>'CH4 1990-2019'!E96/1000</f>
        <v>0.58365900940295345</v>
      </c>
      <c r="E36" s="69">
        <f>'N2O 1990-2019'!E97/1000</f>
        <v>2.3416369558615369E-2</v>
      </c>
      <c r="F36" s="2">
        <f t="shared" si="5"/>
        <v>16.342452263282695</v>
      </c>
      <c r="G36" s="2">
        <f t="shared" si="5"/>
        <v>6.2053379330330731</v>
      </c>
      <c r="H36" s="2">
        <f t="shared" si="6"/>
        <v>77.009329398361913</v>
      </c>
      <c r="I36" s="2"/>
      <c r="J36" s="2"/>
    </row>
    <row r="37" spans="2:33" x14ac:dyDescent="0.35">
      <c r="B37">
        <f t="shared" si="7"/>
        <v>2007</v>
      </c>
      <c r="C37" s="68">
        <f>'CO2 1990-2019'!E97/1000</f>
        <v>53.746045769965306</v>
      </c>
      <c r="D37" s="69">
        <f>'CH4 1990-2019'!E97/1000</f>
        <v>0.54949163157015002</v>
      </c>
      <c r="E37" s="69">
        <f>'N2O 1990-2019'!E98/1000</f>
        <v>2.2587866931128592E-2</v>
      </c>
      <c r="F37" s="2">
        <f t="shared" si="5"/>
        <v>15.3857656839642</v>
      </c>
      <c r="G37" s="2">
        <f t="shared" si="5"/>
        <v>5.9857847367490766</v>
      </c>
      <c r="H37" s="2">
        <f t="shared" si="6"/>
        <v>75.117596190678583</v>
      </c>
      <c r="I37" s="2"/>
      <c r="J37" s="2"/>
    </row>
    <row r="38" spans="2:33" x14ac:dyDescent="0.35">
      <c r="B38">
        <f t="shared" si="7"/>
        <v>2008</v>
      </c>
      <c r="C38" s="68">
        <f>'CO2 1990-2019'!E98/1000</f>
        <v>52.68158170157681</v>
      </c>
      <c r="D38" s="69">
        <f>'CH4 1990-2019'!E98/1000</f>
        <v>0.54327868568762094</v>
      </c>
      <c r="E38" s="69">
        <f>'N2O 1990-2019'!E99/1000</f>
        <v>2.252824456889773E-2</v>
      </c>
      <c r="F38" s="2">
        <f t="shared" si="5"/>
        <v>15.211803199253387</v>
      </c>
      <c r="G38" s="2">
        <f t="shared" si="5"/>
        <v>5.9699848107578983</v>
      </c>
      <c r="H38" s="2">
        <f t="shared" si="6"/>
        <v>73.863369711588092</v>
      </c>
      <c r="I38" s="2"/>
      <c r="J38" s="2"/>
    </row>
    <row r="39" spans="2:33" x14ac:dyDescent="0.35">
      <c r="B39">
        <f t="shared" si="7"/>
        <v>2009</v>
      </c>
      <c r="C39" s="68">
        <f>'CO2 1990-2019'!E99/1000</f>
        <v>47.163320009204178</v>
      </c>
      <c r="D39" s="69">
        <f>'CH4 1990-2019'!E99/1000</f>
        <v>0.52849395261365861</v>
      </c>
      <c r="E39" s="69">
        <f>'N2O 1990-2019'!E100/1000</f>
        <v>2.1984221435495593E-2</v>
      </c>
      <c r="F39" s="2">
        <f t="shared" si="5"/>
        <v>14.797830673182441</v>
      </c>
      <c r="G39" s="2">
        <f t="shared" si="5"/>
        <v>5.8258186804063321</v>
      </c>
      <c r="H39" s="2">
        <f t="shared" si="6"/>
        <v>67.786969362792945</v>
      </c>
      <c r="I39" s="2"/>
      <c r="J39" s="2"/>
    </row>
    <row r="40" spans="2:33" x14ac:dyDescent="0.35">
      <c r="B40">
        <f t="shared" si="7"/>
        <v>2010</v>
      </c>
      <c r="C40" s="68">
        <f>'CO2 1990-2019'!E100/1000</f>
        <v>48.004538579802293</v>
      </c>
      <c r="D40" s="69">
        <f>'CH4 1990-2019'!E100/1000</f>
        <v>0.53088913019285489</v>
      </c>
      <c r="E40" s="69">
        <f>'N2O 1990-2019'!E101/1000</f>
        <v>2.3205006831574712E-2</v>
      </c>
      <c r="F40" s="2">
        <f t="shared" si="5"/>
        <v>14.864895645399937</v>
      </c>
      <c r="G40" s="2">
        <f t="shared" si="5"/>
        <v>6.1493268103672989</v>
      </c>
      <c r="H40" s="2">
        <f t="shared" si="6"/>
        <v>69.018761035569526</v>
      </c>
      <c r="I40" s="2"/>
      <c r="J40" s="2"/>
    </row>
    <row r="41" spans="2:33" x14ac:dyDescent="0.35">
      <c r="B41">
        <f t="shared" si="7"/>
        <v>2011</v>
      </c>
      <c r="C41" s="68">
        <f>'CO2 1990-2019'!E101/1000</f>
        <v>43.82620233701207</v>
      </c>
      <c r="D41" s="69">
        <f>'CH4 1990-2019'!E101/1000</f>
        <v>0.52067847685625956</v>
      </c>
      <c r="E41" s="69">
        <f>'N2O 1990-2019'!E102/1000</f>
        <v>2.1596923732384501E-2</v>
      </c>
      <c r="F41" s="2">
        <f t="shared" si="5"/>
        <v>14.578997351975268</v>
      </c>
      <c r="G41" s="2">
        <f t="shared" si="5"/>
        <v>5.723184789081893</v>
      </c>
      <c r="H41" s="2">
        <f t="shared" si="6"/>
        <v>64.128384478069222</v>
      </c>
      <c r="I41" s="2"/>
      <c r="J41" s="2"/>
    </row>
    <row r="42" spans="2:33" x14ac:dyDescent="0.35">
      <c r="B42">
        <f t="shared" si="7"/>
        <v>2012</v>
      </c>
      <c r="C42" s="68">
        <f>'CO2 1990-2019'!E102/1000</f>
        <v>43.046736237018365</v>
      </c>
      <c r="D42" s="69">
        <f>'CH4 1990-2019'!E102/1000</f>
        <v>0.54122860081163016</v>
      </c>
      <c r="E42" s="69">
        <f>'N2O 1990-2019'!E103/1000</f>
        <v>2.2350835962576289E-2</v>
      </c>
      <c r="F42" s="2">
        <f t="shared" si="5"/>
        <v>15.154400822725645</v>
      </c>
      <c r="G42" s="2">
        <f t="shared" si="5"/>
        <v>5.9229715300827168</v>
      </c>
      <c r="H42" s="2">
        <f t="shared" si="6"/>
        <v>64.124108589826733</v>
      </c>
      <c r="I42" s="2"/>
      <c r="J42" s="2"/>
      <c r="W42" s="82"/>
    </row>
    <row r="43" spans="2:33" x14ac:dyDescent="0.35">
      <c r="B43">
        <f t="shared" si="7"/>
        <v>2013</v>
      </c>
      <c r="C43" s="68">
        <f>'CO2 1990-2019'!E103/1000</f>
        <v>42.143034779693046</v>
      </c>
      <c r="D43" s="69">
        <f>'CH4 1990-2019'!E103/1000</f>
        <v>0.55563293823158555</v>
      </c>
      <c r="E43" s="69">
        <f>'N2O 1990-2019'!E104/1000</f>
        <v>2.3861676615019551E-2</v>
      </c>
      <c r="F43" s="2">
        <f t="shared" si="5"/>
        <v>15.557722270484396</v>
      </c>
      <c r="G43" s="2">
        <f t="shared" si="5"/>
        <v>6.323344302980181</v>
      </c>
      <c r="H43" s="2">
        <f t="shared" si="6"/>
        <v>64.024101353157619</v>
      </c>
      <c r="I43" s="2"/>
      <c r="J43" s="2"/>
      <c r="X43" s="2"/>
    </row>
    <row r="44" spans="2:33" x14ac:dyDescent="0.35">
      <c r="B44">
        <f t="shared" si="7"/>
        <v>2014</v>
      </c>
      <c r="C44" s="68">
        <f>'CO2 1990-2019'!E104/1000</f>
        <v>43.002058721298987</v>
      </c>
      <c r="D44" s="69">
        <f>'CH4 1990-2019'!E104/1000</f>
        <v>0.56469371673730473</v>
      </c>
      <c r="E44" s="69">
        <f>'N2O 1990-2019'!E105/1000</f>
        <v>2.3087068532383508E-2</v>
      </c>
      <c r="F44" s="2">
        <f t="shared" si="5"/>
        <v>15.811424068644532</v>
      </c>
      <c r="G44" s="2">
        <f t="shared" si="5"/>
        <v>6.1180731610816297</v>
      </c>
      <c r="H44" s="2">
        <f t="shared" si="6"/>
        <v>64.931555951025146</v>
      </c>
      <c r="I44" s="2"/>
      <c r="J44" s="2"/>
      <c r="X44" s="2"/>
    </row>
    <row r="45" spans="2:33" x14ac:dyDescent="0.35">
      <c r="B45">
        <f t="shared" si="7"/>
        <v>2015</v>
      </c>
      <c r="C45" s="68">
        <f>'CO2 1990-2019'!E105/1000</f>
        <v>44.636500221951238</v>
      </c>
      <c r="D45" s="69">
        <f>'CH4 1990-2019'!E105/1000</f>
        <v>0.57912274054536717</v>
      </c>
      <c r="E45" s="69">
        <f>'N2O 1990-2019'!E106/1000</f>
        <v>2.3139800195035771E-2</v>
      </c>
      <c r="F45" s="2">
        <f t="shared" si="5"/>
        <v>16.215436735270281</v>
      </c>
      <c r="G45" s="2">
        <f t="shared" si="5"/>
        <v>6.1320470516844789</v>
      </c>
      <c r="H45" s="2">
        <f t="shared" si="6"/>
        <v>66.983984008905992</v>
      </c>
      <c r="I45" s="2"/>
      <c r="J45" s="2"/>
      <c r="X45" s="2"/>
    </row>
    <row r="46" spans="2:33" x14ac:dyDescent="0.35">
      <c r="B46">
        <f t="shared" si="7"/>
        <v>2016</v>
      </c>
      <c r="C46" s="68">
        <f>'CO2 1990-2019'!E106/1000</f>
        <v>45.653374656401347</v>
      </c>
      <c r="D46" s="69">
        <f>'CH4 1990-2019'!E106/1000</f>
        <v>0.59326897730059025</v>
      </c>
      <c r="E46" s="69">
        <f>'N2O 1990-2019'!E107/1000</f>
        <v>2.3402918953505311E-2</v>
      </c>
      <c r="F46" s="2">
        <f t="shared" si="5"/>
        <v>16.611531364416528</v>
      </c>
      <c r="G46" s="2">
        <f t="shared" si="5"/>
        <v>6.2017735226789075</v>
      </c>
      <c r="H46" s="2">
        <f t="shared" si="6"/>
        <v>68.466679543496781</v>
      </c>
      <c r="I46" s="2"/>
      <c r="J46" s="2"/>
      <c r="X46" s="2"/>
    </row>
    <row r="47" spans="2:33" ht="43.5" x14ac:dyDescent="0.35">
      <c r="B47">
        <f t="shared" si="7"/>
        <v>2017</v>
      </c>
      <c r="C47" s="68">
        <f>'CO2 1990-2019'!E107/1000</f>
        <v>45.728105317317954</v>
      </c>
      <c r="D47" s="69">
        <f>'CH4 1990-2019'!E107/1000</f>
        <v>0.62003341514735055</v>
      </c>
      <c r="E47" s="69">
        <f>'N2O 1990-2019'!E108/1000</f>
        <v>2.4736923302581051E-2</v>
      </c>
      <c r="F47" s="2">
        <f t="shared" si="5"/>
        <v>17.360935624125815</v>
      </c>
      <c r="G47" s="2">
        <f t="shared" si="5"/>
        <v>6.5552846751839784</v>
      </c>
      <c r="H47" s="2">
        <f t="shared" si="6"/>
        <v>69.644325616627754</v>
      </c>
      <c r="I47" s="2"/>
      <c r="J47" s="2"/>
      <c r="K47" s="75" t="str">
        <f>K7</f>
        <v>% reduction GWP100</v>
      </c>
      <c r="L47" s="75"/>
      <c r="M47" s="75" t="s">
        <v>209</v>
      </c>
      <c r="N47" s="75" t="s">
        <v>210</v>
      </c>
      <c r="O47" s="75" t="s">
        <v>211</v>
      </c>
      <c r="Y47" t="s">
        <v>1</v>
      </c>
      <c r="Z47" t="s">
        <v>335</v>
      </c>
      <c r="AA47" t="s">
        <v>279</v>
      </c>
      <c r="AB47" t="s">
        <v>336</v>
      </c>
      <c r="AE47" t="s">
        <v>337</v>
      </c>
      <c r="AF47" t="s">
        <v>279</v>
      </c>
      <c r="AG47" t="s">
        <v>338</v>
      </c>
    </row>
    <row r="48" spans="2:33" x14ac:dyDescent="0.35">
      <c r="B48">
        <f t="shared" si="7"/>
        <v>2018</v>
      </c>
      <c r="C48" s="70">
        <f>TIM_Output!AI14/1000</f>
        <v>44.05311996590261</v>
      </c>
      <c r="D48" s="70">
        <f>AB48</f>
        <v>0.62362502085979499</v>
      </c>
      <c r="E48" s="71">
        <f>AG48</f>
        <v>2.5646912762990196E-2</v>
      </c>
      <c r="F48" s="70">
        <f t="shared" si="5"/>
        <v>17.461500584074258</v>
      </c>
      <c r="G48" s="70">
        <f t="shared" si="5"/>
        <v>6.7964318821924019</v>
      </c>
      <c r="H48" s="70">
        <f t="shared" si="6"/>
        <v>68.311052432169276</v>
      </c>
      <c r="I48" s="70"/>
      <c r="J48" s="70"/>
      <c r="K48" s="74">
        <f>1-H48/H$48</f>
        <v>0</v>
      </c>
      <c r="L48" s="73"/>
      <c r="M48" s="3">
        <f>1-C48/C$48</f>
        <v>0</v>
      </c>
      <c r="N48" s="3">
        <f>1-D48/D$48</f>
        <v>0</v>
      </c>
      <c r="O48" s="3">
        <f>1-E48/E$48</f>
        <v>0</v>
      </c>
      <c r="Y48">
        <f>B48</f>
        <v>2018</v>
      </c>
      <c r="Z48" s="130">
        <f>'CH4 1990-2019'!D108/1000</f>
        <v>0.60557344778995981</v>
      </c>
      <c r="AA48" s="130">
        <f>'LULUCF Models'!S2/1000</f>
        <v>1.8051573069835136E-2</v>
      </c>
      <c r="AB48" s="130">
        <f>SUM(Z48:AA48)</f>
        <v>0.62362502085979499</v>
      </c>
      <c r="AE48">
        <f>'N2O 1990-2019'!D109/1000</f>
        <v>2.434199193708618E-2</v>
      </c>
      <c r="AF48">
        <f>'LULUCF Models'!T2/1000</f>
        <v>1.3049208259040157E-3</v>
      </c>
      <c r="AG48">
        <f>SUM(AE48:AF48)</f>
        <v>2.5646912762990196E-2</v>
      </c>
    </row>
    <row r="49" spans="1:33" x14ac:dyDescent="0.35">
      <c r="B49">
        <f t="shared" si="7"/>
        <v>2019</v>
      </c>
      <c r="C49" s="69">
        <f>TIM_Output!AI15/1000</f>
        <v>42.847003375390081</v>
      </c>
      <c r="D49" s="80">
        <f t="shared" ref="D49:D60" si="8">AB49</f>
        <v>0.60727248931136102</v>
      </c>
      <c r="E49" s="80">
        <f t="shared" ref="E49:E60" si="9">AG49</f>
        <v>2.4309378074883786E-2</v>
      </c>
      <c r="F49" s="2">
        <f t="shared" si="5"/>
        <v>17.003629700718108</v>
      </c>
      <c r="G49" s="2">
        <f t="shared" si="5"/>
        <v>6.4419851898442033</v>
      </c>
      <c r="H49" s="2">
        <f t="shared" si="6"/>
        <v>66.292618265952399</v>
      </c>
      <c r="I49" s="2"/>
      <c r="J49" s="2"/>
      <c r="K49" s="74">
        <f t="shared" ref="K49:K90" si="10">1-H49/H$48</f>
        <v>2.9547695348730252E-2</v>
      </c>
      <c r="L49" s="73"/>
      <c r="M49" s="3">
        <f t="shared" ref="M49:M90" si="11">1-C49/C$48</f>
        <v>2.7378687172351701E-2</v>
      </c>
      <c r="N49" s="3">
        <f t="shared" ref="N49:N80" si="12">1-D49/D$48</f>
        <v>2.6221737424660496E-2</v>
      </c>
      <c r="O49" s="3">
        <f t="shared" ref="O49:O80" si="13">1-E49/E$48</f>
        <v>5.215187888175532E-2</v>
      </c>
      <c r="Y49">
        <f t="shared" ref="Y49:Y60" si="14">B49</f>
        <v>2019</v>
      </c>
      <c r="Z49" s="130">
        <f>'CH4 1990-2019'!D109/1000</f>
        <v>0.58922091624152584</v>
      </c>
      <c r="AA49" s="130">
        <f>'LULUCF Models'!S3/1000</f>
        <v>1.8051573069835136E-2</v>
      </c>
      <c r="AB49" s="130">
        <f>SUM(Z49:AA49)</f>
        <v>0.60727248931136102</v>
      </c>
      <c r="AE49">
        <f>'N2O 1990-2019'!D110/1000</f>
        <v>2.300445724897977E-2</v>
      </c>
      <c r="AF49">
        <f>'LULUCF Models'!T3/1000</f>
        <v>1.3049208259040157E-3</v>
      </c>
      <c r="AG49">
        <f>SUM(AE49:AF49)</f>
        <v>2.4309378074883786E-2</v>
      </c>
    </row>
    <row r="50" spans="1:33" x14ac:dyDescent="0.35">
      <c r="A50">
        <f>'LULUCF Models'!S4/1000</f>
        <v>1.6414255780101205E-2</v>
      </c>
      <c r="B50">
        <f t="shared" si="7"/>
        <v>2020</v>
      </c>
      <c r="C50" s="80">
        <f>TIM_Output!AI16/1000</f>
        <v>37.397075829274357</v>
      </c>
      <c r="D50" s="80">
        <f t="shared" si="8"/>
        <v>0.60563517202162709</v>
      </c>
      <c r="E50" s="80">
        <f t="shared" si="9"/>
        <v>2.4191018892461238E-2</v>
      </c>
      <c r="F50" s="2">
        <f t="shared" si="5"/>
        <v>16.95778481660556</v>
      </c>
      <c r="G50" s="2">
        <f t="shared" si="5"/>
        <v>6.4106200065022279</v>
      </c>
      <c r="H50" s="2">
        <f t="shared" si="6"/>
        <v>60.765480652382145</v>
      </c>
      <c r="I50" s="2"/>
      <c r="J50" s="2"/>
      <c r="K50" s="74">
        <f t="shared" si="10"/>
        <v>0.11045901814028769</v>
      </c>
      <c r="L50" s="73"/>
      <c r="M50" s="3">
        <f t="shared" si="11"/>
        <v>0.15109132206254794</v>
      </c>
      <c r="N50" s="3">
        <f t="shared" si="12"/>
        <v>2.8847221064615458E-2</v>
      </c>
      <c r="O50" s="3">
        <f t="shared" si="13"/>
        <v>5.6766827414404752E-2</v>
      </c>
      <c r="P50" s="3">
        <f>M50</f>
        <v>0.15109132206254794</v>
      </c>
      <c r="Q50" s="3">
        <f t="shared" ref="Q50:R50" si="15">N50</f>
        <v>2.8847221064615458E-2</v>
      </c>
      <c r="R50" s="3">
        <f t="shared" si="15"/>
        <v>5.6766827414404752E-2</v>
      </c>
      <c r="S50" s="3">
        <f>K50</f>
        <v>0.11045901814028769</v>
      </c>
      <c r="T50" s="3"/>
      <c r="Y50">
        <f t="shared" si="14"/>
        <v>2020</v>
      </c>
      <c r="Z50" s="130">
        <f>Z49</f>
        <v>0.58922091624152584</v>
      </c>
      <c r="AA50" s="130">
        <f>'LULUCF Models'!S4/1000</f>
        <v>1.6414255780101205E-2</v>
      </c>
      <c r="AB50" s="130">
        <f>SUM(Z50:AA50)</f>
        <v>0.60563517202162709</v>
      </c>
      <c r="AE50" s="130">
        <f>AE49</f>
        <v>2.300445724897977E-2</v>
      </c>
      <c r="AF50">
        <f>'LULUCF Models'!T4/1000</f>
        <v>1.1865616434814702E-3</v>
      </c>
      <c r="AG50">
        <f t="shared" ref="AG50:AG60" si="16">SUM(AE50:AF50)</f>
        <v>2.4191018892461238E-2</v>
      </c>
    </row>
    <row r="51" spans="1:33" x14ac:dyDescent="0.35">
      <c r="A51">
        <f>'LULUCF Models'!S5/1000</f>
        <v>1.7763347765808922E-2</v>
      </c>
      <c r="B51">
        <f t="shared" si="7"/>
        <v>2021</v>
      </c>
      <c r="C51" s="80">
        <f>TIM_Output!AI17/1000</f>
        <v>39.439582806773323</v>
      </c>
      <c r="D51" s="80">
        <f t="shared" si="8"/>
        <v>0.60698426400733474</v>
      </c>
      <c r="E51" s="80">
        <f t="shared" si="9"/>
        <v>2.4288542705006529E-2</v>
      </c>
      <c r="F51" s="2">
        <f t="shared" si="5"/>
        <v>16.995559392205372</v>
      </c>
      <c r="G51" s="2">
        <f t="shared" si="5"/>
        <v>6.4364638168267305</v>
      </c>
      <c r="H51" s="2">
        <f t="shared" si="6"/>
        <v>62.871606015805426</v>
      </c>
      <c r="I51" s="2"/>
      <c r="J51" s="2"/>
      <c r="K51" s="74">
        <f t="shared" si="10"/>
        <v>7.962761841160404E-2</v>
      </c>
      <c r="L51" s="73"/>
      <c r="M51" s="3">
        <f t="shared" si="11"/>
        <v>0.10472668366508875</v>
      </c>
      <c r="N51" s="3">
        <f t="shared" si="12"/>
        <v>2.6683914685651233E-2</v>
      </c>
      <c r="O51" s="3">
        <f t="shared" si="13"/>
        <v>5.2964271783380701E-2</v>
      </c>
      <c r="Y51">
        <f t="shared" si="14"/>
        <v>2021</v>
      </c>
      <c r="Z51" s="130">
        <f t="shared" ref="Z51" si="17">Z50</f>
        <v>0.58922091624152584</v>
      </c>
      <c r="AA51" s="130">
        <f>'LULUCF Models'!S5/1000</f>
        <v>1.7763347765808922E-2</v>
      </c>
      <c r="AB51" s="130">
        <f t="shared" ref="AB51:AB60" si="18">SUM(Z51:AA51)</f>
        <v>0.60698426400733474</v>
      </c>
      <c r="AE51" s="130">
        <f t="shared" ref="AE51" si="19">AE50</f>
        <v>2.300445724897977E-2</v>
      </c>
      <c r="AF51">
        <f>'LULUCF Models'!T5/1000</f>
        <v>1.2840854560267601E-3</v>
      </c>
      <c r="AG51">
        <f t="shared" si="16"/>
        <v>2.4288542705006529E-2</v>
      </c>
    </row>
    <row r="52" spans="1:33" x14ac:dyDescent="0.35">
      <c r="A52">
        <f>'LULUCF Models'!S6/1000</f>
        <v>1.7175521928139651E-2</v>
      </c>
      <c r="B52">
        <f t="shared" si="7"/>
        <v>2022</v>
      </c>
      <c r="C52" s="80">
        <f>TIM_Output!AI18/1000</f>
        <v>39.783620509637402</v>
      </c>
      <c r="D52" s="80">
        <f t="shared" si="8"/>
        <v>0.58600902636719299</v>
      </c>
      <c r="E52" s="80">
        <f t="shared" si="9"/>
        <v>2.3502124928149033E-2</v>
      </c>
      <c r="F52" s="2">
        <f t="shared" si="5"/>
        <v>16.408252738281405</v>
      </c>
      <c r="G52" s="2">
        <f t="shared" si="5"/>
        <v>6.2280631059594933</v>
      </c>
      <c r="H52" s="2">
        <f t="shared" si="6"/>
        <v>62.419936353878299</v>
      </c>
      <c r="I52" s="2"/>
      <c r="J52" s="2"/>
      <c r="K52" s="74">
        <f t="shared" si="10"/>
        <v>8.6239574249579509E-2</v>
      </c>
      <c r="L52" s="73"/>
      <c r="M52" s="3">
        <f t="shared" si="11"/>
        <v>9.6917073287200228E-2</v>
      </c>
      <c r="N52" s="3">
        <f t="shared" si="12"/>
        <v>6.0318289411705472E-2</v>
      </c>
      <c r="O52" s="3">
        <f t="shared" si="13"/>
        <v>8.362752486670455E-2</v>
      </c>
      <c r="Y52">
        <f t="shared" si="14"/>
        <v>2022</v>
      </c>
      <c r="Z52" s="97">
        <f>Z51-Z$2</f>
        <v>0.56883350443905334</v>
      </c>
      <c r="AA52" s="130">
        <f>'LULUCF Models'!S6/1000</f>
        <v>1.7175521928139651E-2</v>
      </c>
      <c r="AB52" s="130">
        <f t="shared" si="18"/>
        <v>0.58600902636719299</v>
      </c>
      <c r="AE52" s="97">
        <f>AE51-AE$2</f>
        <v>2.2260532509965101E-2</v>
      </c>
      <c r="AF52">
        <f>'LULUCF Models'!T6/1000</f>
        <v>1.2415924181839303E-3</v>
      </c>
      <c r="AG52">
        <f t="shared" si="16"/>
        <v>2.3502124928149033E-2</v>
      </c>
    </row>
    <row r="53" spans="1:33" x14ac:dyDescent="0.35">
      <c r="A53">
        <f>'LULUCF Models'!S7/1000</f>
        <v>2.2544289796848513E-2</v>
      </c>
      <c r="B53">
        <f t="shared" si="7"/>
        <v>2023</v>
      </c>
      <c r="C53" s="80">
        <f>TIM_Output!AI19/1000</f>
        <v>40.4570240220391</v>
      </c>
      <c r="D53" s="80">
        <f t="shared" si="8"/>
        <v>0.57099038243342937</v>
      </c>
      <c r="E53" s="80">
        <f t="shared" si="9"/>
        <v>2.3146300271837377E-2</v>
      </c>
      <c r="F53" s="2">
        <f t="shared" si="5"/>
        <v>15.987730708136022</v>
      </c>
      <c r="G53" s="2">
        <f t="shared" si="5"/>
        <v>6.133769572036905</v>
      </c>
      <c r="H53" s="2">
        <f t="shared" si="6"/>
        <v>62.578524302212031</v>
      </c>
      <c r="I53" s="2"/>
      <c r="J53" s="2"/>
      <c r="K53" s="74">
        <f t="shared" si="10"/>
        <v>8.3918018034482289E-2</v>
      </c>
      <c r="L53" s="73"/>
      <c r="M53" s="3">
        <f t="shared" si="11"/>
        <v>8.1630902570508312E-2</v>
      </c>
      <c r="N53" s="3">
        <f t="shared" si="12"/>
        <v>8.4401101087634323E-2</v>
      </c>
      <c r="O53" s="3">
        <f t="shared" si="13"/>
        <v>9.7501501029056858E-2</v>
      </c>
      <c r="Y53">
        <f t="shared" si="14"/>
        <v>2023</v>
      </c>
      <c r="Z53" s="97">
        <f t="shared" ref="Z53:Z60" si="20">Z52-Z$2</f>
        <v>0.54844609263658084</v>
      </c>
      <c r="AA53" s="130">
        <f>'LULUCF Models'!S7/1000</f>
        <v>2.2544289796848513E-2</v>
      </c>
      <c r="AB53" s="130">
        <f t="shared" si="18"/>
        <v>0.57099038243342937</v>
      </c>
      <c r="AE53" s="97">
        <f t="shared" ref="AE53:AE60" si="21">AE52-AE$2</f>
        <v>2.1516607770950432E-2</v>
      </c>
      <c r="AF53">
        <f>'LULUCF Models'!T7/1000</f>
        <v>1.6296925008869442E-3</v>
      </c>
      <c r="AG53">
        <f t="shared" si="16"/>
        <v>2.3146300271837377E-2</v>
      </c>
    </row>
    <row r="54" spans="1:33" x14ac:dyDescent="0.35">
      <c r="A54">
        <f>'LULUCF Models'!S8/1000</f>
        <v>1.7379955637951871E-2</v>
      </c>
      <c r="B54">
        <f t="shared" si="7"/>
        <v>2024</v>
      </c>
      <c r="C54" s="80">
        <f>TIM_Output!AI20/1000</f>
        <v>35.419580446465218</v>
      </c>
      <c r="D54" s="80">
        <f t="shared" si="8"/>
        <v>0.54543863647206026</v>
      </c>
      <c r="E54" s="80">
        <f t="shared" si="9"/>
        <v>2.2029053652795921E-2</v>
      </c>
      <c r="F54" s="2">
        <f t="shared" si="5"/>
        <v>15.272281821217687</v>
      </c>
      <c r="G54" s="2">
        <f t="shared" si="5"/>
        <v>5.8376992179909193</v>
      </c>
      <c r="H54" s="2">
        <f t="shared" si="6"/>
        <v>56.529561485673824</v>
      </c>
      <c r="I54" s="2"/>
      <c r="J54" s="2"/>
      <c r="K54" s="74">
        <f t="shared" si="10"/>
        <v>0.17246829798434304</v>
      </c>
      <c r="L54" s="73"/>
      <c r="M54" s="3">
        <f t="shared" si="11"/>
        <v>0.19598020585420073</v>
      </c>
      <c r="N54" s="3">
        <f t="shared" si="12"/>
        <v>0.12537403371009515</v>
      </c>
      <c r="O54" s="3">
        <f t="shared" si="13"/>
        <v>0.14106411729270707</v>
      </c>
      <c r="X54" s="75"/>
      <c r="Y54">
        <f t="shared" si="14"/>
        <v>2024</v>
      </c>
      <c r="Z54" s="97">
        <f t="shared" si="20"/>
        <v>0.52805868083410834</v>
      </c>
      <c r="AA54" s="130">
        <f>'LULUCF Models'!S8/1000</f>
        <v>1.7379955637951871E-2</v>
      </c>
      <c r="AB54" s="130">
        <f t="shared" si="18"/>
        <v>0.54543863647206026</v>
      </c>
      <c r="AE54" s="97">
        <f t="shared" si="21"/>
        <v>2.0772683031935763E-2</v>
      </c>
      <c r="AF54">
        <f>'LULUCF Models'!T8/1000</f>
        <v>1.2563706208601594E-3</v>
      </c>
      <c r="AG54">
        <f t="shared" si="16"/>
        <v>2.2029053652795921E-2</v>
      </c>
    </row>
    <row r="55" spans="1:33" ht="36" customHeight="1" x14ac:dyDescent="0.35">
      <c r="A55">
        <f>'LULUCF Models'!S9/1000</f>
        <v>1.6564649372269504E-2</v>
      </c>
      <c r="B55">
        <f t="shared" si="7"/>
        <v>2025</v>
      </c>
      <c r="C55" s="80">
        <f>TIM_Output!AI21/1000</f>
        <v>31.759930339225079</v>
      </c>
      <c r="D55" s="80">
        <f t="shared" si="8"/>
        <v>0.52423591840390538</v>
      </c>
      <c r="E55" s="80">
        <f t="shared" si="9"/>
        <v>2.1226191660974364E-2</v>
      </c>
      <c r="F55" s="2">
        <f t="shared" si="5"/>
        <v>14.678605715309351</v>
      </c>
      <c r="G55" s="2">
        <f t="shared" si="5"/>
        <v>5.624940790158206</v>
      </c>
      <c r="H55" s="2">
        <f t="shared" si="6"/>
        <v>52.063476844692637</v>
      </c>
      <c r="I55" s="2"/>
      <c r="J55" s="2"/>
      <c r="K55" s="74">
        <f t="shared" si="10"/>
        <v>0.23784695168633174</v>
      </c>
      <c r="L55" s="73"/>
      <c r="M55" s="3">
        <f t="shared" si="11"/>
        <v>0.27905377953235855</v>
      </c>
      <c r="N55" s="3">
        <f t="shared" si="12"/>
        <v>0.15937317960536823</v>
      </c>
      <c r="O55" s="3">
        <f t="shared" si="13"/>
        <v>0.17236854754678932</v>
      </c>
      <c r="P55" s="3">
        <f>M55</f>
        <v>0.27905377953235855</v>
      </c>
      <c r="Q55" s="3">
        <f t="shared" ref="Q55:R55" si="22">N55</f>
        <v>0.15937317960536823</v>
      </c>
      <c r="R55" s="3">
        <f t="shared" si="22"/>
        <v>0.17236854754678932</v>
      </c>
      <c r="S55" s="3">
        <f>K55</f>
        <v>0.23784695168633174</v>
      </c>
      <c r="T55" s="3"/>
      <c r="X55" s="75"/>
      <c r="Y55">
        <f t="shared" si="14"/>
        <v>2025</v>
      </c>
      <c r="Z55" s="97">
        <f t="shared" si="20"/>
        <v>0.50767126903163584</v>
      </c>
      <c r="AA55" s="130">
        <f>'LULUCF Models'!S9/1000</f>
        <v>1.6564649372269504E-2</v>
      </c>
      <c r="AB55" s="130">
        <f t="shared" si="18"/>
        <v>0.52423591840390538</v>
      </c>
      <c r="AE55" s="97">
        <f t="shared" si="21"/>
        <v>2.0028758292921094E-2</v>
      </c>
      <c r="AF55">
        <f>'LULUCF Models'!T9/1000</f>
        <v>1.1974333680532679E-3</v>
      </c>
      <c r="AG55">
        <f t="shared" si="16"/>
        <v>2.1226191660974364E-2</v>
      </c>
    </row>
    <row r="56" spans="1:33" ht="44.15" customHeight="1" x14ac:dyDescent="0.35">
      <c r="A56">
        <f>'LULUCF Models'!S10/1000</f>
        <v>1.1458093059444422E-2</v>
      </c>
      <c r="B56">
        <f t="shared" si="7"/>
        <v>2026</v>
      </c>
      <c r="C56" s="80">
        <f>TIM_Output!AI22/1000</f>
        <v>27.541093595451695</v>
      </c>
      <c r="D56" s="80">
        <f t="shared" si="8"/>
        <v>0.49874195028860768</v>
      </c>
      <c r="E56" s="80">
        <f t="shared" si="9"/>
        <v>2.0113121714753775E-2</v>
      </c>
      <c r="F56" s="2">
        <f t="shared" si="5"/>
        <v>13.964774608081015</v>
      </c>
      <c r="G56" s="2">
        <f t="shared" si="5"/>
        <v>5.3299772544097506</v>
      </c>
      <c r="H56" s="2">
        <f t="shared" si="6"/>
        <v>46.835845457942462</v>
      </c>
      <c r="I56" s="2"/>
      <c r="J56" s="2"/>
      <c r="K56" s="74">
        <f t="shared" si="10"/>
        <v>0.31437382692282512</v>
      </c>
      <c r="L56" s="73"/>
      <c r="M56" s="3">
        <f t="shared" si="11"/>
        <v>0.37482081594291905</v>
      </c>
      <c r="N56" s="3">
        <f t="shared" si="12"/>
        <v>0.20025346385077747</v>
      </c>
      <c r="O56" s="3">
        <f t="shared" si="13"/>
        <v>0.21576831096107463</v>
      </c>
      <c r="P56" s="3"/>
      <c r="Q56" s="3"/>
      <c r="R56" s="3"/>
      <c r="X56" s="75"/>
      <c r="Y56">
        <f t="shared" si="14"/>
        <v>2026</v>
      </c>
      <c r="Z56" s="97">
        <f t="shared" si="20"/>
        <v>0.48728385722916329</v>
      </c>
      <c r="AA56" s="130">
        <f>'LULUCF Models'!S10/1000</f>
        <v>1.1458093059444422E-2</v>
      </c>
      <c r="AB56" s="130">
        <f t="shared" si="18"/>
        <v>0.49874195028860768</v>
      </c>
      <c r="AE56" s="97">
        <f t="shared" si="21"/>
        <v>1.9284833553906425E-2</v>
      </c>
      <c r="AF56">
        <f>'LULUCF Models'!T10/1000</f>
        <v>8.2828816084734938E-4</v>
      </c>
      <c r="AG56">
        <f t="shared" si="16"/>
        <v>2.0113121714753775E-2</v>
      </c>
    </row>
    <row r="57" spans="1:33" x14ac:dyDescent="0.35">
      <c r="A57">
        <f>'LULUCF Models'!S11/1000</f>
        <v>1.1061279147433366E-2</v>
      </c>
      <c r="B57">
        <f t="shared" si="7"/>
        <v>2027</v>
      </c>
      <c r="C57" s="80">
        <f>TIM_Output!AI23/1000</f>
        <v>24.690303631719004</v>
      </c>
      <c r="D57" s="80">
        <f t="shared" si="8"/>
        <v>0.47795772457412411</v>
      </c>
      <c r="E57" s="80">
        <f t="shared" si="9"/>
        <v>1.9340511900162123E-2</v>
      </c>
      <c r="F57" s="2">
        <f t="shared" si="5"/>
        <v>13.382816288075475</v>
      </c>
      <c r="G57" s="2">
        <f t="shared" si="5"/>
        <v>5.1252356535429628</v>
      </c>
      <c r="H57" s="2">
        <f t="shared" si="6"/>
        <v>43.198355573337437</v>
      </c>
      <c r="I57" s="2"/>
      <c r="J57" s="2"/>
      <c r="K57" s="74">
        <f t="shared" si="10"/>
        <v>0.3676227486579563</v>
      </c>
      <c r="L57" s="73"/>
      <c r="M57" s="3">
        <f t="shared" si="11"/>
        <v>0.43953337128381709</v>
      </c>
      <c r="N57" s="3">
        <f t="shared" si="12"/>
        <v>0.23358154566158784</v>
      </c>
      <c r="O57" s="3">
        <f t="shared" si="13"/>
        <v>0.2458931771284586</v>
      </c>
      <c r="X57" s="75"/>
      <c r="Y57">
        <f t="shared" si="14"/>
        <v>2027</v>
      </c>
      <c r="Z57" s="97">
        <f t="shared" si="20"/>
        <v>0.46689644542669073</v>
      </c>
      <c r="AA57" s="130">
        <f>'LULUCF Models'!S11/1000</f>
        <v>1.1061279147433366E-2</v>
      </c>
      <c r="AB57" s="130">
        <f t="shared" si="18"/>
        <v>0.47795772457412411</v>
      </c>
      <c r="AE57" s="97">
        <f t="shared" si="21"/>
        <v>1.8540908814891757E-2</v>
      </c>
      <c r="AF57">
        <f>'LULUCF Models'!T11/1000</f>
        <v>7.9960308527036528E-4</v>
      </c>
      <c r="AG57">
        <f t="shared" si="16"/>
        <v>1.9340511900162123E-2</v>
      </c>
    </row>
    <row r="58" spans="1:33" x14ac:dyDescent="0.35">
      <c r="A58">
        <f>'LULUCF Models'!S12/1000</f>
        <v>9.1375295205173082E-3</v>
      </c>
      <c r="B58">
        <f t="shared" si="7"/>
        <v>2028</v>
      </c>
      <c r="C58" s="80">
        <f>TIM_Output!AI24/1000</f>
        <v>21.805614766046951</v>
      </c>
      <c r="D58" s="80">
        <f t="shared" si="8"/>
        <v>0.45564656314473551</v>
      </c>
      <c r="E58" s="80">
        <f t="shared" si="9"/>
        <v>1.8457522219700179E-2</v>
      </c>
      <c r="F58" s="2">
        <f t="shared" si="5"/>
        <v>12.758103768052594</v>
      </c>
      <c r="G58" s="2">
        <f t="shared" si="5"/>
        <v>4.8912433882205475</v>
      </c>
      <c r="H58" s="2">
        <f t="shared" si="6"/>
        <v>39.454961922320095</v>
      </c>
      <c r="I58" s="2"/>
      <c r="J58" s="2"/>
      <c r="K58" s="74">
        <f t="shared" si="10"/>
        <v>0.42242198710819701</v>
      </c>
      <c r="L58" s="73"/>
      <c r="M58" s="3">
        <f t="shared" si="11"/>
        <v>0.50501542721776271</v>
      </c>
      <c r="N58" s="3">
        <f t="shared" si="12"/>
        <v>0.26935811119872444</v>
      </c>
      <c r="O58" s="3">
        <f t="shared" si="13"/>
        <v>0.28032186991584718</v>
      </c>
      <c r="R58" s="2"/>
      <c r="Y58">
        <f t="shared" si="14"/>
        <v>2028</v>
      </c>
      <c r="Z58" s="97">
        <f t="shared" si="20"/>
        <v>0.44650903362421818</v>
      </c>
      <c r="AA58" s="130">
        <f>'LULUCF Models'!S12/1000</f>
        <v>9.1375295205173082E-3</v>
      </c>
      <c r="AB58" s="130">
        <f t="shared" si="18"/>
        <v>0.45564656314473551</v>
      </c>
      <c r="AE58" s="97">
        <f t="shared" si="21"/>
        <v>1.7796984075877088E-2</v>
      </c>
      <c r="AF58">
        <f>'LULUCF Models'!T12/1000</f>
        <v>6.6053814382308941E-4</v>
      </c>
      <c r="AG58">
        <f t="shared" si="16"/>
        <v>1.8457522219700179E-2</v>
      </c>
    </row>
    <row r="59" spans="1:33" x14ac:dyDescent="0.35">
      <c r="A59">
        <f>'LULUCF Models'!S13/1000</f>
        <v>8.039203098270456E-3</v>
      </c>
      <c r="B59">
        <f t="shared" si="7"/>
        <v>2029</v>
      </c>
      <c r="C59" s="80">
        <f>TIM_Output!AI25/1000</f>
        <v>19.369006426960006</v>
      </c>
      <c r="D59" s="80">
        <f t="shared" si="8"/>
        <v>0.43416082492001606</v>
      </c>
      <c r="E59" s="80">
        <f t="shared" si="9"/>
        <v>1.763420113021312E-2</v>
      </c>
      <c r="F59" s="2">
        <f t="shared" si="5"/>
        <v>12.156503097760449</v>
      </c>
      <c r="G59" s="2">
        <f t="shared" si="5"/>
        <v>4.6730632995064765</v>
      </c>
      <c r="H59" s="2">
        <f t="shared" si="6"/>
        <v>36.198572824226929</v>
      </c>
      <c r="I59" s="2"/>
      <c r="J59" s="2"/>
      <c r="K59" s="74">
        <f t="shared" si="10"/>
        <v>0.4700920050943298</v>
      </c>
      <c r="L59" s="73"/>
      <c r="M59" s="3">
        <f t="shared" si="11"/>
        <v>0.56032611442840508</v>
      </c>
      <c r="N59" s="3">
        <f t="shared" si="12"/>
        <v>0.30381108775681209</v>
      </c>
      <c r="O59" s="3">
        <f t="shared" si="13"/>
        <v>0.31242402182378171</v>
      </c>
      <c r="R59" s="2"/>
      <c r="X59" s="75"/>
      <c r="Y59">
        <f t="shared" si="14"/>
        <v>2029</v>
      </c>
      <c r="Z59" s="97">
        <f t="shared" si="20"/>
        <v>0.42612162182174562</v>
      </c>
      <c r="AA59" s="130">
        <f>'LULUCF Models'!S13/1000</f>
        <v>8.039203098270456E-3</v>
      </c>
      <c r="AB59" s="130">
        <f t="shared" si="18"/>
        <v>0.43416082492001606</v>
      </c>
      <c r="AE59" s="97">
        <f t="shared" si="21"/>
        <v>1.7053059336862419E-2</v>
      </c>
      <c r="AF59">
        <f>'LULUCF Models'!T13/1000</f>
        <v>5.8114179335070075E-4</v>
      </c>
      <c r="AG59">
        <f t="shared" si="16"/>
        <v>1.763420113021312E-2</v>
      </c>
    </row>
    <row r="60" spans="1:33" x14ac:dyDescent="0.35">
      <c r="A60">
        <f>'LULUCF Models'!S14/1000</f>
        <v>8.8507083303080592E-3</v>
      </c>
      <c r="B60">
        <f t="shared" si="7"/>
        <v>2030</v>
      </c>
      <c r="C60" s="71">
        <f>TIM_Output!AI26/1000</f>
        <v>17.586324234694192</v>
      </c>
      <c r="D60" s="80">
        <f t="shared" si="8"/>
        <v>0.41458491834958111</v>
      </c>
      <c r="E60" s="80">
        <f t="shared" si="9"/>
        <v>1.6948938873050819E-2</v>
      </c>
      <c r="F60" s="70">
        <f t="shared" si="5"/>
        <v>11.608377713788272</v>
      </c>
      <c r="G60" s="70">
        <f t="shared" si="5"/>
        <v>4.4914688013584669</v>
      </c>
      <c r="H60" s="70">
        <f t="shared" si="6"/>
        <v>33.686170749840926</v>
      </c>
      <c r="I60" s="70"/>
      <c r="J60" s="70"/>
      <c r="K60" s="146">
        <f t="shared" si="10"/>
        <v>0.50687085690430211</v>
      </c>
      <c r="L60" s="87"/>
      <c r="M60" s="72">
        <f t="shared" si="11"/>
        <v>0.60079276454639041</v>
      </c>
      <c r="N60" s="72">
        <f t="shared" si="12"/>
        <v>0.33520159634071323</v>
      </c>
      <c r="O60" s="72">
        <f t="shared" si="13"/>
        <v>0.33914311520921137</v>
      </c>
      <c r="P60" s="3">
        <f>M60</f>
        <v>0.60079276454639041</v>
      </c>
      <c r="Q60" s="3">
        <f t="shared" ref="Q60:R60" si="23">N60</f>
        <v>0.33520159634071323</v>
      </c>
      <c r="R60" s="3">
        <f t="shared" si="23"/>
        <v>0.33914311520921137</v>
      </c>
      <c r="S60" s="3">
        <f>K60</f>
        <v>0.50687085690430211</v>
      </c>
      <c r="T60" s="3"/>
      <c r="X60" s="75"/>
      <c r="Y60">
        <f t="shared" si="14"/>
        <v>2030</v>
      </c>
      <c r="Z60" s="97">
        <f t="shared" si="20"/>
        <v>0.40573421001927307</v>
      </c>
      <c r="AA60" s="130">
        <f>'LULUCF Models'!S14/1000</f>
        <v>8.8507083303080592E-3</v>
      </c>
      <c r="AB60" s="130">
        <f t="shared" si="18"/>
        <v>0.41458491834958111</v>
      </c>
      <c r="AE60" s="97">
        <f t="shared" si="21"/>
        <v>1.630913459784775E-2</v>
      </c>
      <c r="AF60">
        <f>'LULUCF Models'!T14/1000</f>
        <v>6.3980427520307095E-4</v>
      </c>
      <c r="AG60">
        <f t="shared" si="16"/>
        <v>1.6948938873050819E-2</v>
      </c>
    </row>
    <row r="61" spans="1:33" x14ac:dyDescent="0.35">
      <c r="B61">
        <f t="shared" si="7"/>
        <v>2031</v>
      </c>
      <c r="C61" s="70">
        <f>TIM_Output!AI27/1000</f>
        <v>16.707008022959492</v>
      </c>
      <c r="D61" s="1">
        <f>D60*(1+I$1)</f>
        <v>0.41458491834958111</v>
      </c>
      <c r="E61" s="2">
        <f>E60*(1+I$1)</f>
        <v>1.6948938873050819E-2</v>
      </c>
      <c r="F61" s="2">
        <f t="shared" ref="F61:G76" si="24">D61*F$5</f>
        <v>11.608377713788272</v>
      </c>
      <c r="G61" s="2">
        <f t="shared" si="24"/>
        <v>4.4914688013584669</v>
      </c>
      <c r="H61" s="2">
        <f>SUM(F61:G61)+C61+U61</f>
        <v>32.582281098038308</v>
      </c>
      <c r="I61" s="2"/>
      <c r="J61" s="2"/>
      <c r="K61" s="74">
        <f t="shared" si="10"/>
        <v>0.5230306086940838</v>
      </c>
      <c r="L61" s="73"/>
      <c r="M61" s="3">
        <f t="shared" si="11"/>
        <v>0.62075312631907065</v>
      </c>
      <c r="N61" s="3">
        <f t="shared" si="12"/>
        <v>0.33520159634071323</v>
      </c>
      <c r="O61" s="3">
        <f t="shared" si="13"/>
        <v>0.33914311520921137</v>
      </c>
      <c r="U61" s="2">
        <f>U60+$A$79</f>
        <v>-0.22457344006792335</v>
      </c>
      <c r="V61" s="2">
        <f>U61</f>
        <v>-0.22457344006792335</v>
      </c>
    </row>
    <row r="62" spans="1:33" x14ac:dyDescent="0.35">
      <c r="B62">
        <f t="shared" si="7"/>
        <v>2032</v>
      </c>
      <c r="C62" s="70">
        <f>TIM_Output!AI28/1000</f>
        <v>15.827691811224769</v>
      </c>
      <c r="D62" s="1">
        <f>D61*(1+I$1)</f>
        <v>0.41458491834958111</v>
      </c>
      <c r="E62" s="2">
        <f t="shared" ref="E62:E90" si="25">E61*(1+I$1)</f>
        <v>1.6948938873050819E-2</v>
      </c>
      <c r="F62" s="2">
        <f t="shared" si="24"/>
        <v>11.608377713788272</v>
      </c>
      <c r="G62" s="2">
        <f t="shared" si="24"/>
        <v>4.4914688013584669</v>
      </c>
      <c r="H62" s="2">
        <f t="shared" ref="H62:H90" si="26">SUM(F62:G62)+C62+U62</f>
        <v>31.478391446235658</v>
      </c>
      <c r="I62" s="2"/>
      <c r="J62" s="2"/>
      <c r="K62" s="74">
        <f t="shared" si="10"/>
        <v>0.53919036048386593</v>
      </c>
      <c r="L62" s="73"/>
      <c r="M62" s="3">
        <f t="shared" si="11"/>
        <v>0.64071348809175155</v>
      </c>
      <c r="N62" s="3">
        <f t="shared" si="12"/>
        <v>0.33520159634071323</v>
      </c>
      <c r="O62" s="3">
        <f t="shared" si="13"/>
        <v>0.33914311520921137</v>
      </c>
      <c r="U62" s="2">
        <f>U61+$A$79</f>
        <v>-0.44914688013584669</v>
      </c>
      <c r="V62" s="2">
        <f>U62+V61</f>
        <v>-0.67372032020377004</v>
      </c>
    </row>
    <row r="63" spans="1:33" x14ac:dyDescent="0.35">
      <c r="B63">
        <f t="shared" si="7"/>
        <v>2033</v>
      </c>
      <c r="C63" s="70">
        <f>TIM_Output!AI29/1000</f>
        <v>14.948375599490069</v>
      </c>
      <c r="D63" s="1">
        <f t="shared" ref="D63:D90" si="27">D62*(1+I$1)</f>
        <v>0.41458491834958111</v>
      </c>
      <c r="E63" s="2">
        <f t="shared" si="25"/>
        <v>1.6948938873050819E-2</v>
      </c>
      <c r="F63" s="2">
        <f t="shared" si="24"/>
        <v>11.608377713788272</v>
      </c>
      <c r="G63" s="2">
        <f t="shared" si="24"/>
        <v>4.4914688013584669</v>
      </c>
      <c r="H63" s="2">
        <f t="shared" si="26"/>
        <v>30.374501794433037</v>
      </c>
      <c r="I63" s="2"/>
      <c r="J63" s="2"/>
      <c r="K63" s="74">
        <f t="shared" si="10"/>
        <v>0.55535011227364772</v>
      </c>
      <c r="L63" s="73"/>
      <c r="M63" s="3">
        <f t="shared" si="11"/>
        <v>0.66067384986443178</v>
      </c>
      <c r="N63" s="3">
        <f t="shared" si="12"/>
        <v>0.33520159634071323</v>
      </c>
      <c r="O63" s="3">
        <f t="shared" si="13"/>
        <v>0.33914311520921137</v>
      </c>
      <c r="U63" s="2">
        <f t="shared" ref="U63:U80" si="28">U62+$A$79</f>
        <v>-0.67372032020377004</v>
      </c>
      <c r="V63" s="2">
        <f t="shared" ref="V63:V93" si="29">U63+V62</f>
        <v>-1.3474406404075401</v>
      </c>
    </row>
    <row r="64" spans="1:33" x14ac:dyDescent="0.35">
      <c r="B64">
        <f t="shared" si="7"/>
        <v>2034</v>
      </c>
      <c r="C64" s="70">
        <f>TIM_Output!AI30/1000</f>
        <v>14.069059387755347</v>
      </c>
      <c r="D64" s="1">
        <f t="shared" si="27"/>
        <v>0.41458491834958111</v>
      </c>
      <c r="E64" s="2">
        <f t="shared" si="25"/>
        <v>1.6948938873050819E-2</v>
      </c>
      <c r="F64" s="2">
        <f t="shared" si="24"/>
        <v>11.608377713788272</v>
      </c>
      <c r="G64" s="2">
        <f t="shared" si="24"/>
        <v>4.4914688013584669</v>
      </c>
      <c r="H64" s="2">
        <f t="shared" si="26"/>
        <v>29.270612142630391</v>
      </c>
      <c r="I64" s="2"/>
      <c r="J64" s="2"/>
      <c r="K64" s="74">
        <f t="shared" si="10"/>
        <v>0.57150986406342974</v>
      </c>
      <c r="L64" s="73"/>
      <c r="M64" s="3">
        <f t="shared" si="11"/>
        <v>0.68063421163711246</v>
      </c>
      <c r="N64" s="3">
        <f t="shared" si="12"/>
        <v>0.33520159634071323</v>
      </c>
      <c r="O64" s="3">
        <f t="shared" si="13"/>
        <v>0.33914311520921137</v>
      </c>
      <c r="U64" s="2">
        <f t="shared" si="28"/>
        <v>-0.89829376027169339</v>
      </c>
      <c r="V64" s="2">
        <f t="shared" si="29"/>
        <v>-2.2457344006792335</v>
      </c>
    </row>
    <row r="65" spans="1:22" x14ac:dyDescent="0.35">
      <c r="B65">
        <f t="shared" si="7"/>
        <v>2035</v>
      </c>
      <c r="C65" s="70">
        <f>TIM_Output!AI31/1000</f>
        <v>13.18974317602064</v>
      </c>
      <c r="D65" s="1">
        <f t="shared" si="27"/>
        <v>0.41458491834958111</v>
      </c>
      <c r="E65" s="2">
        <f t="shared" si="25"/>
        <v>1.6948938873050819E-2</v>
      </c>
      <c r="F65" s="2">
        <f t="shared" si="24"/>
        <v>11.608377713788272</v>
      </c>
      <c r="G65" s="2">
        <f t="shared" si="24"/>
        <v>4.4914688013584669</v>
      </c>
      <c r="H65" s="2">
        <f t="shared" si="26"/>
        <v>28.166722490827762</v>
      </c>
      <c r="I65" s="2"/>
      <c r="J65" s="2"/>
      <c r="K65" s="74">
        <f t="shared" si="10"/>
        <v>0.58766961585321154</v>
      </c>
      <c r="L65" s="73"/>
      <c r="M65" s="3">
        <f t="shared" si="11"/>
        <v>0.70059457340979292</v>
      </c>
      <c r="N65" s="3">
        <f t="shared" si="12"/>
        <v>0.33520159634071323</v>
      </c>
      <c r="O65" s="3">
        <f t="shared" si="13"/>
        <v>0.33914311520921137</v>
      </c>
      <c r="U65" s="2">
        <f t="shared" si="28"/>
        <v>-1.1228672003396167</v>
      </c>
      <c r="V65" s="2">
        <f t="shared" si="29"/>
        <v>-3.3686016010188502</v>
      </c>
    </row>
    <row r="66" spans="1:22" x14ac:dyDescent="0.35">
      <c r="B66">
        <f t="shared" si="7"/>
        <v>2036</v>
      </c>
      <c r="C66" s="70">
        <f>TIM_Output!AI32/1000</f>
        <v>12.310426964285941</v>
      </c>
      <c r="D66" s="1">
        <f t="shared" si="27"/>
        <v>0.41458491834958111</v>
      </c>
      <c r="E66" s="2">
        <f t="shared" si="25"/>
        <v>1.6948938873050819E-2</v>
      </c>
      <c r="F66" s="2">
        <f t="shared" si="24"/>
        <v>11.608377713788272</v>
      </c>
      <c r="G66" s="2">
        <f t="shared" si="24"/>
        <v>4.4914688013584669</v>
      </c>
      <c r="H66" s="2">
        <f t="shared" si="26"/>
        <v>27.062832839025138</v>
      </c>
      <c r="I66" s="2"/>
      <c r="J66" s="2"/>
      <c r="K66" s="74">
        <f t="shared" si="10"/>
        <v>0.60382936764299333</v>
      </c>
      <c r="L66" s="73"/>
      <c r="M66" s="3">
        <f t="shared" si="11"/>
        <v>0.72055493518247316</v>
      </c>
      <c r="N66" s="3">
        <f t="shared" si="12"/>
        <v>0.33520159634071323</v>
      </c>
      <c r="O66" s="3">
        <f t="shared" si="13"/>
        <v>0.33914311520921137</v>
      </c>
      <c r="U66" s="2">
        <f t="shared" si="28"/>
        <v>-1.3474406404075401</v>
      </c>
      <c r="V66" s="2">
        <f t="shared" si="29"/>
        <v>-4.7160422414263898</v>
      </c>
    </row>
    <row r="67" spans="1:22" x14ac:dyDescent="0.35">
      <c r="B67">
        <f t="shared" si="7"/>
        <v>2037</v>
      </c>
      <c r="C67" s="70">
        <f>TIM_Output!AI33/1000</f>
        <v>11.431110752551229</v>
      </c>
      <c r="D67" s="1">
        <f t="shared" si="27"/>
        <v>0.41458491834958111</v>
      </c>
      <c r="E67" s="2">
        <f t="shared" si="25"/>
        <v>1.6948938873050819E-2</v>
      </c>
      <c r="F67" s="2">
        <f t="shared" si="24"/>
        <v>11.608377713788272</v>
      </c>
      <c r="G67" s="2">
        <f t="shared" si="24"/>
        <v>4.4914688013584669</v>
      </c>
      <c r="H67" s="2">
        <f t="shared" si="26"/>
        <v>25.958943187222502</v>
      </c>
      <c r="I67" s="2"/>
      <c r="J67" s="2"/>
      <c r="K67" s="74">
        <f t="shared" si="10"/>
        <v>0.61998911943277535</v>
      </c>
      <c r="L67" s="73"/>
      <c r="M67" s="3">
        <f t="shared" si="11"/>
        <v>0.74051529695515361</v>
      </c>
      <c r="N67" s="3">
        <f t="shared" si="12"/>
        <v>0.33520159634071323</v>
      </c>
      <c r="O67" s="3">
        <f t="shared" si="13"/>
        <v>0.33914311520921137</v>
      </c>
      <c r="U67" s="2">
        <f t="shared" si="28"/>
        <v>-1.5720140804754634</v>
      </c>
      <c r="V67" s="2">
        <f t="shared" si="29"/>
        <v>-6.2880563219018537</v>
      </c>
    </row>
    <row r="68" spans="1:22" x14ac:dyDescent="0.35">
      <c r="B68">
        <f t="shared" si="7"/>
        <v>2038</v>
      </c>
      <c r="C68" s="70">
        <f>TIM_Output!AI34/1000</f>
        <v>10.551794540816505</v>
      </c>
      <c r="D68" s="1">
        <f t="shared" si="27"/>
        <v>0.41458491834958111</v>
      </c>
      <c r="E68" s="2">
        <f t="shared" si="25"/>
        <v>1.6948938873050819E-2</v>
      </c>
      <c r="F68" s="2">
        <f t="shared" si="24"/>
        <v>11.608377713788272</v>
      </c>
      <c r="G68" s="2">
        <f t="shared" si="24"/>
        <v>4.4914688013584669</v>
      </c>
      <c r="H68" s="2">
        <f t="shared" si="26"/>
        <v>24.855053535419856</v>
      </c>
      <c r="I68" s="2"/>
      <c r="J68" s="2"/>
      <c r="K68" s="74">
        <f t="shared" si="10"/>
        <v>0.63614887122255737</v>
      </c>
      <c r="L68" s="73"/>
      <c r="M68" s="3">
        <f t="shared" si="11"/>
        <v>0.76047565872783451</v>
      </c>
      <c r="N68" s="3">
        <f t="shared" si="12"/>
        <v>0.33520159634071323</v>
      </c>
      <c r="O68" s="3">
        <f t="shared" si="13"/>
        <v>0.33914311520921137</v>
      </c>
      <c r="U68" s="2">
        <f t="shared" si="28"/>
        <v>-1.7965875205433868</v>
      </c>
      <c r="V68" s="2">
        <f t="shared" si="29"/>
        <v>-8.0846438424452405</v>
      </c>
    </row>
    <row r="69" spans="1:22" x14ac:dyDescent="0.35">
      <c r="B69">
        <f t="shared" si="7"/>
        <v>2039</v>
      </c>
      <c r="C69" s="70">
        <f>TIM_Output!AI35/1000</f>
        <v>9.6724783290818124</v>
      </c>
      <c r="D69" s="1">
        <f t="shared" si="27"/>
        <v>0.41458491834958111</v>
      </c>
      <c r="E69" s="2">
        <f t="shared" si="25"/>
        <v>1.6948938873050819E-2</v>
      </c>
      <c r="F69" s="2">
        <f t="shared" si="24"/>
        <v>11.608377713788272</v>
      </c>
      <c r="G69" s="2">
        <f t="shared" si="24"/>
        <v>4.4914688013584669</v>
      </c>
      <c r="H69" s="2">
        <f t="shared" si="26"/>
        <v>23.751163883617238</v>
      </c>
      <c r="I69" s="2"/>
      <c r="J69" s="2"/>
      <c r="K69" s="74">
        <f t="shared" si="10"/>
        <v>0.65230862301233916</v>
      </c>
      <c r="L69" s="73"/>
      <c r="M69" s="3">
        <f t="shared" si="11"/>
        <v>0.78043602050051453</v>
      </c>
      <c r="N69" s="3">
        <f t="shared" si="12"/>
        <v>0.33520159634071323</v>
      </c>
      <c r="O69" s="3">
        <f t="shared" si="13"/>
        <v>0.33914311520921137</v>
      </c>
      <c r="U69" s="2">
        <f t="shared" si="28"/>
        <v>-2.0211609606113101</v>
      </c>
      <c r="V69" s="2">
        <f t="shared" si="29"/>
        <v>-10.10580480305655</v>
      </c>
    </row>
    <row r="70" spans="1:22" x14ac:dyDescent="0.35">
      <c r="B70">
        <f t="shared" si="7"/>
        <v>2040</v>
      </c>
      <c r="C70" s="70">
        <f>TIM_Output!AI36/1000</f>
        <v>8.7931621173470909</v>
      </c>
      <c r="D70" s="1">
        <f t="shared" si="27"/>
        <v>0.41458491834958111</v>
      </c>
      <c r="E70" s="2">
        <f t="shared" si="25"/>
        <v>1.6948938873050819E-2</v>
      </c>
      <c r="F70" s="2">
        <f t="shared" si="24"/>
        <v>11.608377713788272</v>
      </c>
      <c r="G70" s="2">
        <f t="shared" si="24"/>
        <v>4.4914688013584669</v>
      </c>
      <c r="H70" s="2">
        <f t="shared" si="26"/>
        <v>22.647274231814595</v>
      </c>
      <c r="I70" s="2"/>
      <c r="J70" s="2"/>
      <c r="K70" s="74">
        <f t="shared" si="10"/>
        <v>0.66846837480212118</v>
      </c>
      <c r="L70" s="73"/>
      <c r="M70" s="3">
        <f t="shared" si="11"/>
        <v>0.80039638227319532</v>
      </c>
      <c r="N70" s="3">
        <f t="shared" si="12"/>
        <v>0.33520159634071323</v>
      </c>
      <c r="O70" s="3">
        <f t="shared" si="13"/>
        <v>0.33914311520921137</v>
      </c>
      <c r="P70" s="3">
        <f>M70</f>
        <v>0.80039638227319532</v>
      </c>
      <c r="Q70" s="3">
        <f t="shared" ref="Q70:R70" si="30">N70</f>
        <v>0.33520159634071323</v>
      </c>
      <c r="R70" s="3">
        <f t="shared" si="30"/>
        <v>0.33914311520921137</v>
      </c>
      <c r="S70" s="3">
        <f>K70</f>
        <v>0.66846837480212118</v>
      </c>
      <c r="T70" s="3"/>
      <c r="U70" s="2">
        <f t="shared" si="28"/>
        <v>-2.2457344006792335</v>
      </c>
      <c r="V70" s="2">
        <f t="shared" si="29"/>
        <v>-12.351539203735783</v>
      </c>
    </row>
    <row r="71" spans="1:22" x14ac:dyDescent="0.35">
      <c r="B71">
        <f t="shared" si="7"/>
        <v>2041</v>
      </c>
      <c r="C71" s="70">
        <f>TIM_Output!AI37/1000</f>
        <v>7.9138459056123791</v>
      </c>
      <c r="D71" s="1">
        <f t="shared" si="27"/>
        <v>0.41458491834958111</v>
      </c>
      <c r="E71" s="2">
        <f t="shared" si="25"/>
        <v>1.6948938873050819E-2</v>
      </c>
      <c r="F71" s="2">
        <f t="shared" si="24"/>
        <v>11.608377713788272</v>
      </c>
      <c r="G71" s="2">
        <f t="shared" si="24"/>
        <v>4.4914688013584669</v>
      </c>
      <c r="H71" s="2">
        <f t="shared" si="26"/>
        <v>21.54338458001196</v>
      </c>
      <c r="I71" s="2"/>
      <c r="J71" s="2"/>
      <c r="K71" s="74">
        <f t="shared" si="10"/>
        <v>0.68462812659190309</v>
      </c>
      <c r="L71" s="73"/>
      <c r="M71" s="3">
        <f t="shared" si="11"/>
        <v>0.82035674404587589</v>
      </c>
      <c r="N71" s="3">
        <f t="shared" si="12"/>
        <v>0.33520159634071323</v>
      </c>
      <c r="O71" s="3">
        <f t="shared" si="13"/>
        <v>0.33914311520921137</v>
      </c>
      <c r="U71" s="2">
        <f t="shared" si="28"/>
        <v>-2.4703078407471568</v>
      </c>
      <c r="V71" s="2">
        <f t="shared" si="29"/>
        <v>-14.82184704448294</v>
      </c>
    </row>
    <row r="72" spans="1:22" x14ac:dyDescent="0.35">
      <c r="B72">
        <f t="shared" si="7"/>
        <v>2042</v>
      </c>
      <c r="C72" s="70">
        <f>TIM_Output!AI38/1000</f>
        <v>7.0345296938776816</v>
      </c>
      <c r="D72" s="1">
        <f t="shared" si="27"/>
        <v>0.41458491834958111</v>
      </c>
      <c r="E72" s="2">
        <f t="shared" si="25"/>
        <v>1.6948938873050819E-2</v>
      </c>
      <c r="F72" s="2">
        <f t="shared" si="24"/>
        <v>11.608377713788272</v>
      </c>
      <c r="G72" s="2">
        <f t="shared" si="24"/>
        <v>4.4914688013584669</v>
      </c>
      <c r="H72" s="2">
        <f t="shared" si="26"/>
        <v>20.439494928209335</v>
      </c>
      <c r="I72" s="2"/>
      <c r="J72" s="2"/>
      <c r="K72" s="74">
        <f t="shared" si="10"/>
        <v>0.70078787838168488</v>
      </c>
      <c r="L72" s="73"/>
      <c r="M72" s="3">
        <f t="shared" si="11"/>
        <v>0.84031710581855612</v>
      </c>
      <c r="N72" s="3">
        <f t="shared" si="12"/>
        <v>0.33520159634071323</v>
      </c>
      <c r="O72" s="3">
        <f t="shared" si="13"/>
        <v>0.33914311520921137</v>
      </c>
      <c r="U72" s="2">
        <f t="shared" si="28"/>
        <v>-2.6948812808150802</v>
      </c>
      <c r="V72" s="2">
        <f t="shared" si="29"/>
        <v>-17.516728325298018</v>
      </c>
    </row>
    <row r="73" spans="1:22" x14ac:dyDescent="0.35">
      <c r="B73">
        <f t="shared" si="7"/>
        <v>2043</v>
      </c>
      <c r="C73" s="70">
        <f>TIM_Output!AI39/1000</f>
        <v>6.1552134821429654</v>
      </c>
      <c r="D73" s="1">
        <f t="shared" si="27"/>
        <v>0.41458491834958111</v>
      </c>
      <c r="E73" s="2">
        <f t="shared" si="25"/>
        <v>1.6948938873050819E-2</v>
      </c>
      <c r="F73" s="2">
        <f t="shared" si="24"/>
        <v>11.608377713788272</v>
      </c>
      <c r="G73" s="2">
        <f t="shared" si="24"/>
        <v>4.4914688013584669</v>
      </c>
      <c r="H73" s="2">
        <f t="shared" si="26"/>
        <v>19.335605276406699</v>
      </c>
      <c r="I73" s="2"/>
      <c r="J73" s="2"/>
      <c r="K73" s="74">
        <f t="shared" si="10"/>
        <v>0.71694763017146679</v>
      </c>
      <c r="L73" s="73"/>
      <c r="M73" s="3">
        <f t="shared" si="11"/>
        <v>0.86027746759123669</v>
      </c>
      <c r="N73" s="3">
        <f t="shared" si="12"/>
        <v>0.33520159634071323</v>
      </c>
      <c r="O73" s="3">
        <f t="shared" si="13"/>
        <v>0.33914311520921137</v>
      </c>
      <c r="U73" s="2">
        <f t="shared" si="28"/>
        <v>-2.9194547208830035</v>
      </c>
      <c r="V73" s="2">
        <f t="shared" si="29"/>
        <v>-20.436183046181021</v>
      </c>
    </row>
    <row r="74" spans="1:22" x14ac:dyDescent="0.35">
      <c r="B74">
        <f t="shared" si="7"/>
        <v>2044</v>
      </c>
      <c r="C74" s="70">
        <f>TIM_Output!AI40/1000</f>
        <v>5.275897270408251</v>
      </c>
      <c r="D74" s="1">
        <f t="shared" si="27"/>
        <v>0.41458491834958111</v>
      </c>
      <c r="E74" s="2">
        <f t="shared" si="25"/>
        <v>1.6948938873050819E-2</v>
      </c>
      <c r="F74" s="2">
        <f t="shared" si="24"/>
        <v>11.608377713788272</v>
      </c>
      <c r="G74" s="2">
        <f t="shared" si="24"/>
        <v>4.4914688013584669</v>
      </c>
      <c r="H74" s="2">
        <f t="shared" si="26"/>
        <v>18.23171562460406</v>
      </c>
      <c r="I74" s="2"/>
      <c r="J74" s="2"/>
      <c r="K74" s="74">
        <f t="shared" si="10"/>
        <v>0.73310738196124881</v>
      </c>
      <c r="L74" s="73"/>
      <c r="M74" s="3">
        <f t="shared" si="11"/>
        <v>0.88023782936391726</v>
      </c>
      <c r="N74" s="3">
        <f t="shared" si="12"/>
        <v>0.33520159634071323</v>
      </c>
      <c r="O74" s="3">
        <f t="shared" si="13"/>
        <v>0.33914311520921137</v>
      </c>
      <c r="U74" s="2">
        <f t="shared" si="28"/>
        <v>-3.1440281609509269</v>
      </c>
      <c r="V74" s="2">
        <f t="shared" si="29"/>
        <v>-23.580211207131949</v>
      </c>
    </row>
    <row r="75" spans="1:22" x14ac:dyDescent="0.35">
      <c r="B75">
        <f t="shared" si="7"/>
        <v>2045</v>
      </c>
      <c r="C75" s="70">
        <f>TIM_Output!AI41/1000</f>
        <v>4.3965810586735552</v>
      </c>
      <c r="D75" s="1">
        <f t="shared" si="27"/>
        <v>0.41458491834958111</v>
      </c>
      <c r="E75" s="2">
        <f t="shared" si="25"/>
        <v>1.6948938873050819E-2</v>
      </c>
      <c r="F75" s="2">
        <f t="shared" si="24"/>
        <v>11.608377713788272</v>
      </c>
      <c r="G75" s="2">
        <f t="shared" si="24"/>
        <v>4.4914688013584669</v>
      </c>
      <c r="H75" s="2">
        <f t="shared" si="26"/>
        <v>17.127825972801443</v>
      </c>
      <c r="I75" s="2"/>
      <c r="J75" s="2"/>
      <c r="K75" s="74">
        <f t="shared" si="10"/>
        <v>0.74926713375103049</v>
      </c>
      <c r="L75" s="73"/>
      <c r="M75" s="3">
        <f t="shared" si="11"/>
        <v>0.90019819113659749</v>
      </c>
      <c r="N75" s="3">
        <f t="shared" si="12"/>
        <v>0.33520159634071323</v>
      </c>
      <c r="O75" s="3">
        <f t="shared" si="13"/>
        <v>0.33914311520921137</v>
      </c>
      <c r="U75" s="2">
        <f t="shared" si="28"/>
        <v>-3.3686016010188502</v>
      </c>
      <c r="V75" s="2">
        <f t="shared" si="29"/>
        <v>-26.948812808150798</v>
      </c>
    </row>
    <row r="76" spans="1:22" x14ac:dyDescent="0.35">
      <c r="B76">
        <f t="shared" si="7"/>
        <v>2046</v>
      </c>
      <c r="C76" s="70">
        <f>TIM_Output!AI42/1000</f>
        <v>3.5172648469388332</v>
      </c>
      <c r="D76" s="1">
        <f t="shared" si="27"/>
        <v>0.41458491834958111</v>
      </c>
      <c r="E76" s="2">
        <f t="shared" si="25"/>
        <v>1.6948938873050819E-2</v>
      </c>
      <c r="F76" s="2">
        <f t="shared" si="24"/>
        <v>11.608377713788272</v>
      </c>
      <c r="G76" s="2">
        <f t="shared" si="24"/>
        <v>4.4914688013584669</v>
      </c>
      <c r="H76" s="2">
        <f t="shared" si="26"/>
        <v>16.023936320998796</v>
      </c>
      <c r="I76" s="2"/>
      <c r="J76" s="2"/>
      <c r="K76" s="74">
        <f t="shared" si="10"/>
        <v>0.76542688554081262</v>
      </c>
      <c r="L76" s="73"/>
      <c r="M76" s="3">
        <f t="shared" si="11"/>
        <v>0.92015855290927817</v>
      </c>
      <c r="N76" s="3">
        <f t="shared" si="12"/>
        <v>0.33520159634071323</v>
      </c>
      <c r="O76" s="3">
        <f t="shared" si="13"/>
        <v>0.33914311520921137</v>
      </c>
      <c r="U76" s="2">
        <f t="shared" si="28"/>
        <v>-3.5931750410867735</v>
      </c>
      <c r="V76" s="2">
        <f t="shared" si="29"/>
        <v>-30.541987849237572</v>
      </c>
    </row>
    <row r="77" spans="1:22" x14ac:dyDescent="0.35">
      <c r="B77">
        <f t="shared" si="7"/>
        <v>2047</v>
      </c>
      <c r="C77" s="70">
        <f>TIM_Output!AI43/1000</f>
        <v>2.6379486352041273</v>
      </c>
      <c r="D77" s="1">
        <f t="shared" si="27"/>
        <v>0.41458491834958111</v>
      </c>
      <c r="E77" s="2">
        <f t="shared" si="25"/>
        <v>1.6948938873050819E-2</v>
      </c>
      <c r="F77" s="2">
        <f t="shared" ref="F77:G90" si="31">D77*F$5</f>
        <v>11.608377713788272</v>
      </c>
      <c r="G77" s="2">
        <f t="shared" si="31"/>
        <v>4.4914688013584669</v>
      </c>
      <c r="H77" s="2">
        <f t="shared" si="26"/>
        <v>14.920046669196166</v>
      </c>
      <c r="I77" s="2"/>
      <c r="J77" s="2"/>
      <c r="K77" s="74">
        <f t="shared" si="10"/>
        <v>0.78158663733059441</v>
      </c>
      <c r="L77" s="73"/>
      <c r="M77" s="3">
        <f t="shared" si="11"/>
        <v>0.94011891468195863</v>
      </c>
      <c r="N77" s="3">
        <f t="shared" si="12"/>
        <v>0.33520159634071323</v>
      </c>
      <c r="O77" s="3">
        <f t="shared" si="13"/>
        <v>0.33914311520921137</v>
      </c>
      <c r="U77" s="2">
        <f t="shared" si="28"/>
        <v>-3.8177484811546969</v>
      </c>
      <c r="V77" s="2">
        <f t="shared" si="29"/>
        <v>-34.359736330392266</v>
      </c>
    </row>
    <row r="78" spans="1:22" x14ac:dyDescent="0.35">
      <c r="B78">
        <f t="shared" si="7"/>
        <v>2048</v>
      </c>
      <c r="C78" s="70">
        <f>TIM_Output!AI44/1000</f>
        <v>1.7586324234694144</v>
      </c>
      <c r="D78" s="1">
        <f t="shared" si="27"/>
        <v>0.41458491834958111</v>
      </c>
      <c r="E78" s="2">
        <f t="shared" si="25"/>
        <v>1.6948938873050819E-2</v>
      </c>
      <c r="F78" s="2">
        <f t="shared" si="31"/>
        <v>11.608377713788272</v>
      </c>
      <c r="G78" s="2">
        <f t="shared" si="31"/>
        <v>4.4914688013584669</v>
      </c>
      <c r="H78" s="2">
        <f>SUM(F78:G78)+C78+U78</f>
        <v>13.816157017393532</v>
      </c>
      <c r="I78" s="2"/>
      <c r="J78" s="2"/>
      <c r="K78" s="74">
        <f t="shared" si="10"/>
        <v>0.79774638912037643</v>
      </c>
      <c r="L78" s="73"/>
      <c r="M78" s="3">
        <f t="shared" si="11"/>
        <v>0.9600792764546392</v>
      </c>
      <c r="N78" s="3">
        <f t="shared" si="12"/>
        <v>0.33520159634071323</v>
      </c>
      <c r="O78" s="3">
        <f t="shared" si="13"/>
        <v>0.33914311520921137</v>
      </c>
      <c r="U78" s="2">
        <f>U77+$A$79</f>
        <v>-4.0423219212226202</v>
      </c>
      <c r="V78" s="2">
        <f t="shared" si="29"/>
        <v>-38.402058251614889</v>
      </c>
    </row>
    <row r="79" spans="1:22" x14ac:dyDescent="0.35">
      <c r="A79">
        <f>-A80/20</f>
        <v>-0.22457344006792335</v>
      </c>
      <c r="B79">
        <f t="shared" si="7"/>
        <v>2049</v>
      </c>
      <c r="C79" s="70">
        <f>TIM_Output!AI45/1000</f>
        <v>0.87931621173470897</v>
      </c>
      <c r="D79" s="1">
        <f t="shared" si="27"/>
        <v>0.41458491834958111</v>
      </c>
      <c r="E79" s="2">
        <f t="shared" si="25"/>
        <v>1.6948938873050819E-2</v>
      </c>
      <c r="F79" s="2">
        <f t="shared" si="31"/>
        <v>11.608377713788272</v>
      </c>
      <c r="G79" s="2">
        <f t="shared" si="31"/>
        <v>4.4914688013584669</v>
      </c>
      <c r="H79" s="2">
        <f t="shared" si="26"/>
        <v>12.7122673655909</v>
      </c>
      <c r="I79" s="78"/>
      <c r="J79" s="2"/>
      <c r="K79" s="74">
        <f t="shared" si="10"/>
        <v>0.81390614091015823</v>
      </c>
      <c r="L79" s="73"/>
      <c r="M79" s="3">
        <f t="shared" si="11"/>
        <v>0.98003963822731954</v>
      </c>
      <c r="N79" s="3">
        <f t="shared" si="12"/>
        <v>0.33520159634071323</v>
      </c>
      <c r="O79" s="3">
        <f t="shared" si="13"/>
        <v>0.33914311520921137</v>
      </c>
      <c r="U79" s="2">
        <f t="shared" si="28"/>
        <v>-4.266895361290544</v>
      </c>
      <c r="V79" s="2">
        <f t="shared" si="29"/>
        <v>-42.668953612905433</v>
      </c>
    </row>
    <row r="80" spans="1:22" x14ac:dyDescent="0.35">
      <c r="A80" s="2">
        <f>A82+A83</f>
        <v>4.4914688013584669</v>
      </c>
      <c r="B80">
        <f t="shared" si="7"/>
        <v>2050</v>
      </c>
      <c r="C80" s="70">
        <f>TIM_Output!AI46/1000</f>
        <v>-1.2687585701894498E-14</v>
      </c>
      <c r="D80" s="1">
        <f t="shared" si="27"/>
        <v>0.41458491834958111</v>
      </c>
      <c r="E80" s="2">
        <f t="shared" si="25"/>
        <v>1.6948938873050819E-2</v>
      </c>
      <c r="F80" s="2">
        <f t="shared" si="31"/>
        <v>11.608377713788272</v>
      </c>
      <c r="G80" s="2">
        <f t="shared" si="31"/>
        <v>4.4914688013584669</v>
      </c>
      <c r="H80" s="2">
        <f>SUM(F80:G80)+C80+U80</f>
        <v>11.608377713788256</v>
      </c>
      <c r="I80" s="78"/>
      <c r="J80" s="2"/>
      <c r="K80" s="74">
        <f t="shared" si="10"/>
        <v>0.83006589269994036</v>
      </c>
      <c r="L80" s="73"/>
      <c r="M80" s="3">
        <f t="shared" si="11"/>
        <v>1.0000000000000002</v>
      </c>
      <c r="N80" s="3">
        <f t="shared" si="12"/>
        <v>0.33520159634071323</v>
      </c>
      <c r="O80" s="3">
        <f t="shared" si="13"/>
        <v>0.33914311520921137</v>
      </c>
      <c r="P80" s="3">
        <f>M80</f>
        <v>1.0000000000000002</v>
      </c>
      <c r="Q80" s="3">
        <f t="shared" ref="Q80:R80" si="32">N80</f>
        <v>0.33520159634071323</v>
      </c>
      <c r="R80" s="3">
        <f t="shared" si="32"/>
        <v>0.33914311520921137</v>
      </c>
      <c r="S80" s="3">
        <f>K80</f>
        <v>0.83006589269994036</v>
      </c>
      <c r="T80" s="3"/>
      <c r="U80" s="2">
        <f t="shared" si="28"/>
        <v>-4.4914688013584669</v>
      </c>
      <c r="V80" s="2">
        <f t="shared" si="29"/>
        <v>-47.160422414263898</v>
      </c>
    </row>
    <row r="81" spans="1:22" x14ac:dyDescent="0.35">
      <c r="B81">
        <f t="shared" si="7"/>
        <v>2051</v>
      </c>
      <c r="C81" s="2">
        <v>0</v>
      </c>
      <c r="D81" s="1">
        <f t="shared" si="27"/>
        <v>0.41458491834958111</v>
      </c>
      <c r="E81" s="2">
        <f t="shared" si="25"/>
        <v>1.6948938873050819E-2</v>
      </c>
      <c r="F81" s="2">
        <f t="shared" si="31"/>
        <v>11.608377713788272</v>
      </c>
      <c r="G81" s="2">
        <f>G80</f>
        <v>4.4914688013584669</v>
      </c>
      <c r="H81" s="2">
        <f t="shared" si="26"/>
        <v>11.60837771378827</v>
      </c>
      <c r="I81" s="78"/>
      <c r="J81" s="2"/>
      <c r="K81" s="74">
        <f t="shared" si="10"/>
        <v>0.83006589269994013</v>
      </c>
      <c r="L81" s="73"/>
      <c r="M81" s="3">
        <f t="shared" si="11"/>
        <v>1</v>
      </c>
      <c r="N81" s="3">
        <f t="shared" ref="N81:N90" si="33">1-D81/D$48</f>
        <v>0.33520159634071323</v>
      </c>
      <c r="O81" s="3">
        <f t="shared" ref="O81:O90" si="34">1-E81/E$48</f>
        <v>0.33914311520921137</v>
      </c>
      <c r="U81" s="2">
        <f>U80</f>
        <v>-4.4914688013584669</v>
      </c>
      <c r="V81" s="2">
        <f t="shared" si="29"/>
        <v>-51.651891215622364</v>
      </c>
    </row>
    <row r="82" spans="1:22" x14ac:dyDescent="0.35">
      <c r="A82">
        <f>IF(InputOutput!B6="Yes",F79,0)</f>
        <v>0</v>
      </c>
      <c r="B82">
        <f t="shared" si="7"/>
        <v>2052</v>
      </c>
      <c r="C82" s="2">
        <f>C81</f>
        <v>0</v>
      </c>
      <c r="D82" s="1">
        <f t="shared" si="27"/>
        <v>0.41458491834958111</v>
      </c>
      <c r="E82" s="2">
        <f t="shared" si="25"/>
        <v>1.6948938873050819E-2</v>
      </c>
      <c r="F82" s="2">
        <f t="shared" si="31"/>
        <v>11.608377713788272</v>
      </c>
      <c r="G82" s="2">
        <f t="shared" ref="G82:G90" si="35">G81</f>
        <v>4.4914688013584669</v>
      </c>
      <c r="H82" s="2">
        <f t="shared" si="26"/>
        <v>11.60837771378827</v>
      </c>
      <c r="I82" s="78"/>
      <c r="J82" s="2"/>
      <c r="K82" s="74">
        <f t="shared" si="10"/>
        <v>0.83006589269994013</v>
      </c>
      <c r="L82" s="73"/>
      <c r="M82" s="3">
        <f t="shared" si="11"/>
        <v>1</v>
      </c>
      <c r="N82" s="3">
        <f t="shared" si="33"/>
        <v>0.33520159634071323</v>
      </c>
      <c r="O82" s="3">
        <f t="shared" si="34"/>
        <v>0.33914311520921137</v>
      </c>
      <c r="U82" s="2">
        <f t="shared" ref="U82:U93" si="36">U81</f>
        <v>-4.4914688013584669</v>
      </c>
      <c r="V82" s="2">
        <f t="shared" si="29"/>
        <v>-56.143360016980829</v>
      </c>
    </row>
    <row r="83" spans="1:22" x14ac:dyDescent="0.35">
      <c r="A83">
        <f>IF(InputOutput!B7="Yes",G80,0)</f>
        <v>4.4914688013584669</v>
      </c>
      <c r="B83">
        <f t="shared" si="7"/>
        <v>2053</v>
      </c>
      <c r="C83" s="2">
        <f t="shared" ref="C83:C90" si="37">C82</f>
        <v>0</v>
      </c>
      <c r="D83" s="1">
        <f t="shared" si="27"/>
        <v>0.41458491834958111</v>
      </c>
      <c r="E83" s="2">
        <f t="shared" si="25"/>
        <v>1.6948938873050819E-2</v>
      </c>
      <c r="F83" s="2">
        <f t="shared" si="31"/>
        <v>11.608377713788272</v>
      </c>
      <c r="G83" s="2">
        <f t="shared" si="35"/>
        <v>4.4914688013584669</v>
      </c>
      <c r="H83" s="2">
        <f t="shared" si="26"/>
        <v>11.60837771378827</v>
      </c>
      <c r="I83" s="78"/>
      <c r="J83" s="2"/>
      <c r="K83" s="74">
        <f t="shared" si="10"/>
        <v>0.83006589269994013</v>
      </c>
      <c r="L83" s="73"/>
      <c r="M83" s="3">
        <f t="shared" si="11"/>
        <v>1</v>
      </c>
      <c r="N83" s="3">
        <f t="shared" si="33"/>
        <v>0.33520159634071323</v>
      </c>
      <c r="O83" s="3">
        <f t="shared" si="34"/>
        <v>0.33914311520921137</v>
      </c>
      <c r="U83" s="2">
        <f t="shared" si="36"/>
        <v>-4.4914688013584669</v>
      </c>
      <c r="V83" s="2">
        <f t="shared" si="29"/>
        <v>-60.634828818339294</v>
      </c>
    </row>
    <row r="84" spans="1:22" x14ac:dyDescent="0.35">
      <c r="B84">
        <f t="shared" si="7"/>
        <v>2054</v>
      </c>
      <c r="C84" s="2">
        <f t="shared" si="37"/>
        <v>0</v>
      </c>
      <c r="D84" s="1">
        <f t="shared" si="27"/>
        <v>0.41458491834958111</v>
      </c>
      <c r="E84" s="2">
        <f t="shared" si="25"/>
        <v>1.6948938873050819E-2</v>
      </c>
      <c r="F84" s="2">
        <f t="shared" si="31"/>
        <v>11.608377713788272</v>
      </c>
      <c r="G84" s="2">
        <f t="shared" si="35"/>
        <v>4.4914688013584669</v>
      </c>
      <c r="H84" s="2">
        <f t="shared" si="26"/>
        <v>11.60837771378827</v>
      </c>
      <c r="I84" s="78"/>
      <c r="J84" s="2"/>
      <c r="K84" s="74">
        <f t="shared" si="10"/>
        <v>0.83006589269994013</v>
      </c>
      <c r="L84" s="73"/>
      <c r="M84" s="3">
        <f t="shared" si="11"/>
        <v>1</v>
      </c>
      <c r="N84" s="3">
        <f t="shared" si="33"/>
        <v>0.33520159634071323</v>
      </c>
      <c r="O84" s="3">
        <f t="shared" si="34"/>
        <v>0.33914311520921137</v>
      </c>
      <c r="U84" s="2">
        <f t="shared" si="36"/>
        <v>-4.4914688013584669</v>
      </c>
      <c r="V84" s="2">
        <f t="shared" si="29"/>
        <v>-65.126297619697766</v>
      </c>
    </row>
    <row r="85" spans="1:22" x14ac:dyDescent="0.35">
      <c r="B85">
        <f t="shared" si="7"/>
        <v>2055</v>
      </c>
      <c r="C85" s="2">
        <f t="shared" si="37"/>
        <v>0</v>
      </c>
      <c r="D85" s="1">
        <f t="shared" si="27"/>
        <v>0.41458491834958111</v>
      </c>
      <c r="E85" s="2">
        <f t="shared" si="25"/>
        <v>1.6948938873050819E-2</v>
      </c>
      <c r="F85" s="2">
        <f t="shared" si="31"/>
        <v>11.608377713788272</v>
      </c>
      <c r="G85" s="2">
        <f t="shared" si="35"/>
        <v>4.4914688013584669</v>
      </c>
      <c r="H85" s="2">
        <f t="shared" si="26"/>
        <v>11.60837771378827</v>
      </c>
      <c r="I85" s="78"/>
      <c r="J85" s="2"/>
      <c r="K85" s="74">
        <f t="shared" si="10"/>
        <v>0.83006589269994013</v>
      </c>
      <c r="L85" s="73"/>
      <c r="M85" s="3">
        <f t="shared" si="11"/>
        <v>1</v>
      </c>
      <c r="N85" s="3">
        <f t="shared" si="33"/>
        <v>0.33520159634071323</v>
      </c>
      <c r="O85" s="3">
        <f t="shared" si="34"/>
        <v>0.33914311520921137</v>
      </c>
      <c r="U85" s="2">
        <f t="shared" si="36"/>
        <v>-4.4914688013584669</v>
      </c>
      <c r="V85" s="2">
        <f t="shared" si="29"/>
        <v>-69.617766421056231</v>
      </c>
    </row>
    <row r="86" spans="1:22" x14ac:dyDescent="0.35">
      <c r="B86">
        <f t="shared" ref="B86:B90" si="38">B85+1</f>
        <v>2056</v>
      </c>
      <c r="C86" s="2">
        <f t="shared" si="37"/>
        <v>0</v>
      </c>
      <c r="D86" s="1">
        <f t="shared" si="27"/>
        <v>0.41458491834958111</v>
      </c>
      <c r="E86" s="2">
        <f t="shared" si="25"/>
        <v>1.6948938873050819E-2</v>
      </c>
      <c r="F86" s="2">
        <f t="shared" si="31"/>
        <v>11.608377713788272</v>
      </c>
      <c r="G86" s="2">
        <f t="shared" si="35"/>
        <v>4.4914688013584669</v>
      </c>
      <c r="H86" s="2">
        <f t="shared" si="26"/>
        <v>11.60837771378827</v>
      </c>
      <c r="I86" s="78"/>
      <c r="J86" s="2"/>
      <c r="K86" s="74">
        <f t="shared" si="10"/>
        <v>0.83006589269994013</v>
      </c>
      <c r="L86" s="73"/>
      <c r="M86" s="3">
        <f t="shared" si="11"/>
        <v>1</v>
      </c>
      <c r="N86" s="3">
        <f t="shared" si="33"/>
        <v>0.33520159634071323</v>
      </c>
      <c r="O86" s="3">
        <f t="shared" si="34"/>
        <v>0.33914311520921137</v>
      </c>
      <c r="U86" s="2">
        <f t="shared" si="36"/>
        <v>-4.4914688013584669</v>
      </c>
      <c r="V86" s="2">
        <f t="shared" si="29"/>
        <v>-74.109235222414696</v>
      </c>
    </row>
    <row r="87" spans="1:22" x14ac:dyDescent="0.35">
      <c r="B87">
        <f t="shared" si="38"/>
        <v>2057</v>
      </c>
      <c r="C87" s="2">
        <f t="shared" si="37"/>
        <v>0</v>
      </c>
      <c r="D87" s="1">
        <f t="shared" si="27"/>
        <v>0.41458491834958111</v>
      </c>
      <c r="E87" s="2">
        <f t="shared" si="25"/>
        <v>1.6948938873050819E-2</v>
      </c>
      <c r="F87" s="2">
        <f t="shared" si="31"/>
        <v>11.608377713788272</v>
      </c>
      <c r="G87" s="2">
        <f t="shared" si="35"/>
        <v>4.4914688013584669</v>
      </c>
      <c r="H87" s="2">
        <f t="shared" si="26"/>
        <v>11.60837771378827</v>
      </c>
      <c r="I87" s="78"/>
      <c r="J87" s="2"/>
      <c r="K87" s="74">
        <f t="shared" si="10"/>
        <v>0.83006589269994013</v>
      </c>
      <c r="L87" s="73"/>
      <c r="M87" s="3">
        <f t="shared" si="11"/>
        <v>1</v>
      </c>
      <c r="N87" s="3">
        <f t="shared" si="33"/>
        <v>0.33520159634071323</v>
      </c>
      <c r="O87" s="3">
        <f t="shared" si="34"/>
        <v>0.33914311520921137</v>
      </c>
      <c r="U87" s="2">
        <f t="shared" si="36"/>
        <v>-4.4914688013584669</v>
      </c>
      <c r="V87" s="2">
        <f t="shared" si="29"/>
        <v>-78.600704023773162</v>
      </c>
    </row>
    <row r="88" spans="1:22" x14ac:dyDescent="0.35">
      <c r="B88">
        <f t="shared" si="38"/>
        <v>2058</v>
      </c>
      <c r="C88" s="2">
        <f t="shared" si="37"/>
        <v>0</v>
      </c>
      <c r="D88" s="1">
        <f t="shared" si="27"/>
        <v>0.41458491834958111</v>
      </c>
      <c r="E88" s="2">
        <f t="shared" si="25"/>
        <v>1.6948938873050819E-2</v>
      </c>
      <c r="F88" s="2">
        <f t="shared" si="31"/>
        <v>11.608377713788272</v>
      </c>
      <c r="G88" s="2">
        <f t="shared" si="35"/>
        <v>4.4914688013584669</v>
      </c>
      <c r="H88" s="2">
        <f t="shared" si="26"/>
        <v>11.60837771378827</v>
      </c>
      <c r="I88" s="78"/>
      <c r="J88" s="2"/>
      <c r="K88" s="74">
        <f t="shared" si="10"/>
        <v>0.83006589269994013</v>
      </c>
      <c r="L88" s="73"/>
      <c r="M88" s="3">
        <f t="shared" si="11"/>
        <v>1</v>
      </c>
      <c r="N88" s="3">
        <f t="shared" si="33"/>
        <v>0.33520159634071323</v>
      </c>
      <c r="O88" s="3">
        <f t="shared" si="34"/>
        <v>0.33914311520921137</v>
      </c>
      <c r="U88" s="2">
        <f t="shared" si="36"/>
        <v>-4.4914688013584669</v>
      </c>
      <c r="V88" s="2">
        <f t="shared" si="29"/>
        <v>-83.092172825131627</v>
      </c>
    </row>
    <row r="89" spans="1:22" x14ac:dyDescent="0.35">
      <c r="B89">
        <f t="shared" si="38"/>
        <v>2059</v>
      </c>
      <c r="C89" s="2">
        <f t="shared" si="37"/>
        <v>0</v>
      </c>
      <c r="D89" s="1">
        <f t="shared" si="27"/>
        <v>0.41458491834958111</v>
      </c>
      <c r="E89" s="2">
        <f t="shared" si="25"/>
        <v>1.6948938873050819E-2</v>
      </c>
      <c r="F89" s="2">
        <f t="shared" si="31"/>
        <v>11.608377713788272</v>
      </c>
      <c r="G89" s="2">
        <f t="shared" si="35"/>
        <v>4.4914688013584669</v>
      </c>
      <c r="H89" s="2">
        <f t="shared" si="26"/>
        <v>11.60837771378827</v>
      </c>
      <c r="I89" s="78"/>
      <c r="J89" s="2"/>
      <c r="K89" s="74">
        <f t="shared" si="10"/>
        <v>0.83006589269994013</v>
      </c>
      <c r="L89" s="73"/>
      <c r="M89" s="3">
        <f t="shared" si="11"/>
        <v>1</v>
      </c>
      <c r="N89" s="3">
        <f t="shared" si="33"/>
        <v>0.33520159634071323</v>
      </c>
      <c r="O89" s="3">
        <f t="shared" si="34"/>
        <v>0.33914311520921137</v>
      </c>
      <c r="U89" s="2">
        <f t="shared" si="36"/>
        <v>-4.4914688013584669</v>
      </c>
      <c r="V89" s="2">
        <f t="shared" si="29"/>
        <v>-87.583641626490092</v>
      </c>
    </row>
    <row r="90" spans="1:22" x14ac:dyDescent="0.35">
      <c r="B90">
        <f t="shared" si="38"/>
        <v>2060</v>
      </c>
      <c r="C90" s="2">
        <f t="shared" si="37"/>
        <v>0</v>
      </c>
      <c r="D90" s="1">
        <f t="shared" si="27"/>
        <v>0.41458491834958111</v>
      </c>
      <c r="E90" s="2">
        <f t="shared" si="25"/>
        <v>1.6948938873050819E-2</v>
      </c>
      <c r="F90" s="2">
        <f t="shared" si="31"/>
        <v>11.608377713788272</v>
      </c>
      <c r="G90" s="2">
        <f t="shared" si="35"/>
        <v>4.4914688013584669</v>
      </c>
      <c r="H90" s="2">
        <f t="shared" si="26"/>
        <v>11.60837771378827</v>
      </c>
      <c r="I90" s="78"/>
      <c r="J90" s="2"/>
      <c r="K90" s="74">
        <f t="shared" si="10"/>
        <v>0.83006589269994013</v>
      </c>
      <c r="L90" s="73"/>
      <c r="M90" s="3">
        <f t="shared" si="11"/>
        <v>1</v>
      </c>
      <c r="N90" s="3">
        <f t="shared" si="33"/>
        <v>0.33520159634071323</v>
      </c>
      <c r="O90" s="3">
        <f t="shared" si="34"/>
        <v>0.33914311520921137</v>
      </c>
      <c r="U90" s="2">
        <f t="shared" si="36"/>
        <v>-4.4914688013584669</v>
      </c>
      <c r="V90" s="2">
        <f t="shared" si="29"/>
        <v>-92.075110427848557</v>
      </c>
    </row>
    <row r="91" spans="1:22" x14ac:dyDescent="0.35">
      <c r="B91" s="134"/>
      <c r="C91" s="135"/>
      <c r="D91" s="138"/>
      <c r="E91" s="135"/>
      <c r="F91" s="135"/>
      <c r="G91" s="135"/>
      <c r="H91" s="135"/>
      <c r="I91" s="139"/>
      <c r="J91" s="135"/>
      <c r="K91" s="140"/>
      <c r="L91" s="140"/>
      <c r="M91" s="140"/>
      <c r="N91" s="140"/>
      <c r="O91" s="140"/>
      <c r="U91" s="2">
        <f t="shared" si="36"/>
        <v>-4.4914688013584669</v>
      </c>
      <c r="V91" s="2">
        <f t="shared" si="29"/>
        <v>-96.566579229207022</v>
      </c>
    </row>
    <row r="92" spans="1:22" x14ac:dyDescent="0.35">
      <c r="B92" s="134"/>
      <c r="C92" s="135"/>
      <c r="D92" s="138"/>
      <c r="E92" s="135"/>
      <c r="F92" s="135"/>
      <c r="G92" s="135"/>
      <c r="H92" s="135"/>
      <c r="I92" s="139"/>
      <c r="J92" s="135"/>
      <c r="K92" s="140"/>
      <c r="L92" s="140"/>
      <c r="M92" s="140"/>
      <c r="N92" s="140"/>
      <c r="O92" s="140"/>
      <c r="U92" s="2">
        <f t="shared" si="36"/>
        <v>-4.4914688013584669</v>
      </c>
      <c r="V92" s="2">
        <f t="shared" si="29"/>
        <v>-101.05804803056549</v>
      </c>
    </row>
    <row r="93" spans="1:22" x14ac:dyDescent="0.35">
      <c r="B93" s="134"/>
      <c r="C93" s="135"/>
      <c r="D93" s="138"/>
      <c r="E93" s="135"/>
      <c r="F93" s="135"/>
      <c r="G93" s="135"/>
      <c r="H93" s="135"/>
      <c r="I93" s="139"/>
      <c r="J93" s="135"/>
      <c r="K93" s="140"/>
      <c r="L93" s="140"/>
      <c r="M93" s="140"/>
      <c r="N93" s="140"/>
      <c r="O93" s="140"/>
      <c r="U93" s="2">
        <f t="shared" si="36"/>
        <v>-4.4914688013584669</v>
      </c>
      <c r="V93" s="2">
        <f t="shared" si="29"/>
        <v>-105.54951683192395</v>
      </c>
    </row>
    <row r="94" spans="1:22" x14ac:dyDescent="0.35">
      <c r="B94" s="134"/>
      <c r="C94" s="135"/>
      <c r="D94" s="138"/>
      <c r="E94" s="135"/>
      <c r="F94" s="135"/>
      <c r="G94" s="135"/>
      <c r="H94" s="135"/>
      <c r="I94" s="139"/>
      <c r="J94" s="135"/>
      <c r="K94" s="140"/>
      <c r="L94" s="140"/>
      <c r="M94" s="140"/>
      <c r="N94" s="140"/>
      <c r="O94" s="140"/>
    </row>
    <row r="95" spans="1:22" x14ac:dyDescent="0.35">
      <c r="B95" s="134"/>
      <c r="C95" s="135"/>
      <c r="D95" s="138"/>
      <c r="E95" s="135"/>
      <c r="F95" s="135"/>
      <c r="G95" s="135"/>
      <c r="H95" s="135"/>
      <c r="I95" s="139"/>
      <c r="J95" s="135"/>
      <c r="K95" s="140"/>
      <c r="L95" s="140"/>
      <c r="M95" s="140"/>
      <c r="N95" s="140"/>
      <c r="O95" s="140"/>
    </row>
    <row r="96" spans="1:22" x14ac:dyDescent="0.35">
      <c r="B96" s="134"/>
      <c r="C96" s="135"/>
      <c r="D96" s="138"/>
      <c r="E96" s="135"/>
      <c r="F96" s="135"/>
      <c r="G96" s="135"/>
      <c r="H96" s="135"/>
      <c r="I96" s="139"/>
      <c r="J96" s="135"/>
      <c r="K96" s="140"/>
      <c r="L96" s="140"/>
      <c r="M96" s="140"/>
      <c r="N96" s="140"/>
      <c r="O96" s="140"/>
    </row>
    <row r="97" spans="2:15" x14ac:dyDescent="0.35">
      <c r="B97" s="134"/>
      <c r="C97" s="135"/>
      <c r="D97" s="138"/>
      <c r="E97" s="135"/>
      <c r="F97" s="135"/>
      <c r="G97" s="135"/>
      <c r="H97" s="135"/>
      <c r="I97" s="139"/>
      <c r="J97" s="135"/>
      <c r="K97" s="140"/>
      <c r="L97" s="140"/>
      <c r="M97" s="140"/>
      <c r="N97" s="140"/>
      <c r="O97" s="140"/>
    </row>
    <row r="98" spans="2:15" x14ac:dyDescent="0.35">
      <c r="B98" s="134"/>
      <c r="C98" s="135"/>
      <c r="D98" s="138"/>
      <c r="E98" s="135"/>
      <c r="F98" s="135"/>
      <c r="G98" s="135"/>
      <c r="H98" s="135"/>
      <c r="I98" s="139"/>
      <c r="J98" s="135"/>
      <c r="K98" s="140"/>
      <c r="L98" s="140"/>
      <c r="M98" s="140"/>
      <c r="N98" s="140"/>
      <c r="O98" s="140"/>
    </row>
    <row r="99" spans="2:15" x14ac:dyDescent="0.35">
      <c r="B99" s="134"/>
      <c r="C99" s="135"/>
      <c r="D99" s="138"/>
      <c r="E99" s="135"/>
      <c r="F99" s="135"/>
      <c r="G99" s="135"/>
      <c r="H99" s="135"/>
      <c r="I99" s="139"/>
      <c r="J99" s="135"/>
      <c r="K99" s="140"/>
      <c r="L99" s="140"/>
      <c r="M99" s="140"/>
      <c r="N99" s="140"/>
      <c r="O99" s="140"/>
    </row>
    <row r="100" spans="2:15" x14ac:dyDescent="0.35">
      <c r="B100" s="134"/>
      <c r="C100" s="135"/>
      <c r="D100" s="138"/>
      <c r="E100" s="135"/>
      <c r="F100" s="135"/>
      <c r="G100" s="135"/>
      <c r="H100" s="135"/>
      <c r="I100" s="139"/>
      <c r="J100" s="135"/>
      <c r="K100" s="140"/>
      <c r="L100" s="140"/>
      <c r="M100" s="140"/>
      <c r="N100" s="140"/>
      <c r="O100" s="140"/>
    </row>
    <row r="101" spans="2:15" x14ac:dyDescent="0.35">
      <c r="B101" s="134"/>
      <c r="C101" s="135"/>
      <c r="D101" s="138"/>
      <c r="E101" s="135"/>
      <c r="F101" s="135"/>
      <c r="G101" s="135"/>
      <c r="H101" s="135"/>
      <c r="I101" s="139"/>
      <c r="J101" s="135"/>
      <c r="K101" s="140"/>
      <c r="L101" s="140"/>
      <c r="M101" s="140"/>
      <c r="N101" s="140"/>
      <c r="O101" s="140"/>
    </row>
    <row r="102" spans="2:15" x14ac:dyDescent="0.35">
      <c r="B102" s="134"/>
      <c r="C102" s="135"/>
      <c r="D102" s="138"/>
      <c r="E102" s="135"/>
      <c r="F102" s="135"/>
      <c r="G102" s="135"/>
      <c r="H102" s="135"/>
      <c r="I102" s="139"/>
      <c r="J102" s="135"/>
      <c r="K102" s="140"/>
      <c r="L102" s="140"/>
      <c r="M102" s="140"/>
      <c r="N102" s="140"/>
      <c r="O102" s="140"/>
    </row>
    <row r="103" spans="2:15" x14ac:dyDescent="0.35">
      <c r="B103" s="134"/>
      <c r="C103" s="135"/>
      <c r="D103" s="138"/>
      <c r="E103" s="135"/>
      <c r="F103" s="135"/>
      <c r="G103" s="135"/>
      <c r="H103" s="135"/>
      <c r="I103" s="139"/>
      <c r="J103" s="135"/>
      <c r="K103" s="140"/>
      <c r="L103" s="140"/>
      <c r="M103" s="140"/>
      <c r="N103" s="140"/>
      <c r="O103" s="140"/>
    </row>
    <row r="104" spans="2:15" x14ac:dyDescent="0.35">
      <c r="B104" s="134"/>
      <c r="C104" s="135"/>
      <c r="D104" s="138"/>
      <c r="E104" s="135"/>
      <c r="F104" s="135"/>
      <c r="G104" s="135"/>
      <c r="H104" s="135"/>
      <c r="I104" s="139"/>
      <c r="J104" s="135"/>
      <c r="K104" s="140"/>
      <c r="L104" s="140"/>
      <c r="M104" s="140"/>
      <c r="N104" s="140"/>
      <c r="O104" s="140"/>
    </row>
    <row r="105" spans="2:15" x14ac:dyDescent="0.35">
      <c r="B105" s="134"/>
      <c r="C105" s="135"/>
      <c r="D105" s="138"/>
      <c r="E105" s="135"/>
      <c r="F105" s="135"/>
      <c r="G105" s="135"/>
      <c r="H105" s="135"/>
      <c r="I105" s="139"/>
      <c r="J105" s="135"/>
      <c r="K105" s="140"/>
      <c r="L105" s="140"/>
      <c r="M105" s="140"/>
      <c r="N105" s="140"/>
      <c r="O105" s="140"/>
    </row>
    <row r="106" spans="2:15" x14ac:dyDescent="0.35">
      <c r="B106" s="134"/>
      <c r="C106" s="135"/>
      <c r="D106" s="138"/>
      <c r="E106" s="135"/>
      <c r="F106" s="135"/>
      <c r="G106" s="135"/>
      <c r="H106" s="135"/>
      <c r="I106" s="139"/>
      <c r="J106" s="135"/>
      <c r="K106" s="140"/>
      <c r="L106" s="140"/>
      <c r="M106" s="140"/>
      <c r="N106" s="140"/>
      <c r="O106" s="140"/>
    </row>
    <row r="107" spans="2:15" x14ac:dyDescent="0.35">
      <c r="B107" s="134"/>
      <c r="C107" s="135"/>
      <c r="D107" s="138"/>
      <c r="E107" s="135"/>
      <c r="F107" s="135"/>
      <c r="G107" s="135"/>
      <c r="H107" s="135"/>
      <c r="I107" s="139"/>
      <c r="J107" s="135"/>
      <c r="K107" s="140"/>
      <c r="L107" s="140"/>
      <c r="M107" s="140"/>
      <c r="N107" s="140"/>
      <c r="O107" s="140"/>
    </row>
    <row r="108" spans="2:15" x14ac:dyDescent="0.35">
      <c r="B108" s="134"/>
      <c r="C108" s="135"/>
      <c r="D108" s="138"/>
      <c r="E108" s="135"/>
      <c r="F108" s="135"/>
      <c r="G108" s="135"/>
      <c r="H108" s="135"/>
      <c r="I108" s="139"/>
      <c r="J108" s="135"/>
      <c r="K108" s="140"/>
      <c r="L108" s="140"/>
      <c r="M108" s="140"/>
      <c r="N108" s="140"/>
      <c r="O108" s="140"/>
    </row>
    <row r="109" spans="2:15" x14ac:dyDescent="0.35">
      <c r="B109" s="134"/>
      <c r="C109" s="135"/>
      <c r="D109" s="138"/>
      <c r="E109" s="135"/>
      <c r="F109" s="135"/>
      <c r="G109" s="135"/>
      <c r="H109" s="135"/>
      <c r="I109" s="139"/>
      <c r="J109" s="135"/>
      <c r="K109" s="140"/>
      <c r="L109" s="140"/>
      <c r="M109" s="140"/>
      <c r="N109" s="140"/>
      <c r="O109" s="140"/>
    </row>
    <row r="110" spans="2:15" x14ac:dyDescent="0.35">
      <c r="B110" s="134"/>
      <c r="C110" s="135"/>
      <c r="D110" s="138"/>
      <c r="E110" s="135"/>
      <c r="F110" s="135"/>
      <c r="G110" s="135"/>
      <c r="H110" s="135"/>
      <c r="I110" s="139"/>
      <c r="J110" s="135"/>
      <c r="K110" s="140"/>
      <c r="L110" s="140"/>
      <c r="M110" s="140"/>
      <c r="N110" s="140"/>
      <c r="O110" s="140"/>
    </row>
    <row r="111" spans="2:15" x14ac:dyDescent="0.35">
      <c r="B111" s="134"/>
      <c r="C111" s="135"/>
      <c r="D111" s="138"/>
      <c r="E111" s="135"/>
      <c r="F111" s="135"/>
      <c r="G111" s="135"/>
      <c r="H111" s="135"/>
      <c r="I111" s="139"/>
      <c r="J111" s="135"/>
      <c r="K111" s="140"/>
      <c r="L111" s="140"/>
      <c r="M111" s="140"/>
      <c r="N111" s="140"/>
      <c r="O111" s="140"/>
    </row>
    <row r="112" spans="2:15" x14ac:dyDescent="0.35">
      <c r="B112" s="134"/>
      <c r="C112" s="135"/>
      <c r="D112" s="138"/>
      <c r="E112" s="135"/>
      <c r="F112" s="135"/>
      <c r="G112" s="135"/>
      <c r="H112" s="135"/>
      <c r="I112" s="139"/>
      <c r="J112" s="135"/>
      <c r="K112" s="140"/>
      <c r="L112" s="140"/>
      <c r="M112" s="140"/>
      <c r="N112" s="140"/>
      <c r="O112" s="140"/>
    </row>
    <row r="113" spans="2:15" x14ac:dyDescent="0.35">
      <c r="B113" s="134"/>
      <c r="C113" s="135"/>
      <c r="D113" s="138"/>
      <c r="E113" s="135"/>
      <c r="F113" s="135"/>
      <c r="G113" s="135"/>
      <c r="H113" s="135"/>
      <c r="I113" s="139"/>
      <c r="J113" s="135"/>
      <c r="K113" s="140"/>
      <c r="L113" s="140"/>
      <c r="M113" s="140"/>
      <c r="N113" s="140"/>
      <c r="O113" s="140"/>
    </row>
    <row r="114" spans="2:15" x14ac:dyDescent="0.35">
      <c r="B114" s="134"/>
      <c r="C114" s="135"/>
      <c r="D114" s="138"/>
      <c r="E114" s="135"/>
      <c r="F114" s="135"/>
      <c r="G114" s="135"/>
      <c r="H114" s="135"/>
      <c r="I114" s="139"/>
      <c r="J114" s="135"/>
      <c r="K114" s="140"/>
      <c r="L114" s="140"/>
      <c r="M114" s="140"/>
      <c r="N114" s="140"/>
      <c r="O114" s="140"/>
    </row>
    <row r="115" spans="2:15" x14ac:dyDescent="0.35">
      <c r="B115" s="134"/>
      <c r="C115" s="135"/>
      <c r="D115" s="138"/>
      <c r="E115" s="135"/>
      <c r="F115" s="135"/>
      <c r="G115" s="135"/>
      <c r="H115" s="135"/>
      <c r="I115" s="139"/>
      <c r="J115" s="135"/>
      <c r="K115" s="140"/>
      <c r="L115" s="140"/>
      <c r="M115" s="140"/>
      <c r="N115" s="140"/>
      <c r="O115" s="140"/>
    </row>
    <row r="116" spans="2:15" x14ac:dyDescent="0.35">
      <c r="B116" s="134"/>
      <c r="C116" s="135"/>
      <c r="D116" s="138"/>
      <c r="E116" s="135"/>
      <c r="F116" s="135"/>
      <c r="G116" s="135"/>
      <c r="H116" s="135"/>
      <c r="I116" s="139"/>
      <c r="J116" s="135"/>
      <c r="K116" s="140"/>
      <c r="L116" s="140"/>
      <c r="M116" s="140"/>
      <c r="N116" s="140"/>
      <c r="O116" s="140"/>
    </row>
    <row r="117" spans="2:15" x14ac:dyDescent="0.35">
      <c r="B117" s="134"/>
      <c r="C117" s="135"/>
      <c r="D117" s="138"/>
      <c r="E117" s="135"/>
      <c r="F117" s="135"/>
      <c r="G117" s="135"/>
      <c r="H117" s="135"/>
      <c r="I117" s="139"/>
      <c r="J117" s="135"/>
      <c r="K117" s="140"/>
      <c r="L117" s="140"/>
      <c r="M117" s="140"/>
      <c r="N117" s="140"/>
      <c r="O117" s="140"/>
    </row>
    <row r="118" spans="2:15" x14ac:dyDescent="0.35">
      <c r="B118" s="134"/>
      <c r="C118" s="135"/>
      <c r="D118" s="138"/>
      <c r="E118" s="135"/>
      <c r="F118" s="135"/>
      <c r="G118" s="135"/>
      <c r="H118" s="135"/>
      <c r="I118" s="139"/>
      <c r="J118" s="135"/>
      <c r="K118" s="140"/>
      <c r="L118" s="140"/>
      <c r="M118" s="140"/>
      <c r="N118" s="140"/>
      <c r="O118" s="140"/>
    </row>
    <row r="119" spans="2:15" x14ac:dyDescent="0.35">
      <c r="B119" s="134"/>
      <c r="C119" s="135"/>
      <c r="D119" s="138"/>
      <c r="E119" s="135"/>
      <c r="F119" s="135"/>
      <c r="G119" s="135"/>
      <c r="H119" s="135"/>
      <c r="I119" s="139"/>
      <c r="J119" s="135"/>
      <c r="K119" s="140"/>
      <c r="L119" s="140"/>
      <c r="M119" s="140"/>
      <c r="N119" s="140"/>
      <c r="O119" s="140"/>
    </row>
    <row r="120" spans="2:15" x14ac:dyDescent="0.35">
      <c r="B120" s="134"/>
      <c r="C120" s="135"/>
      <c r="D120" s="138"/>
      <c r="E120" s="135"/>
      <c r="F120" s="135"/>
      <c r="G120" s="135"/>
      <c r="H120" s="135"/>
      <c r="I120" s="139"/>
      <c r="J120" s="135"/>
      <c r="K120" s="140"/>
      <c r="L120" s="140"/>
      <c r="M120" s="140"/>
      <c r="N120" s="140"/>
      <c r="O120" s="140"/>
    </row>
    <row r="121" spans="2:15" x14ac:dyDescent="0.35">
      <c r="B121" s="134"/>
      <c r="C121" s="135"/>
      <c r="D121" s="138"/>
      <c r="E121" s="135"/>
      <c r="F121" s="135"/>
      <c r="G121" s="135"/>
      <c r="H121" s="135"/>
      <c r="I121" s="139"/>
      <c r="J121" s="135"/>
      <c r="K121" s="140"/>
      <c r="L121" s="140"/>
      <c r="M121" s="140"/>
      <c r="N121" s="140"/>
      <c r="O121" s="140"/>
    </row>
    <row r="122" spans="2:15" x14ac:dyDescent="0.35">
      <c r="B122" s="134"/>
      <c r="C122" s="135"/>
      <c r="D122" s="138"/>
      <c r="E122" s="135"/>
      <c r="F122" s="135"/>
      <c r="G122" s="135"/>
      <c r="H122" s="135"/>
      <c r="I122" s="139"/>
      <c r="J122" s="135"/>
      <c r="K122" s="140"/>
      <c r="L122" s="140"/>
      <c r="M122" s="140"/>
      <c r="N122" s="140"/>
      <c r="O122" s="140"/>
    </row>
    <row r="123" spans="2:15" x14ac:dyDescent="0.35">
      <c r="B123" s="134"/>
      <c r="C123" s="135"/>
      <c r="D123" s="138"/>
      <c r="E123" s="135"/>
      <c r="F123" s="135"/>
      <c r="G123" s="135"/>
      <c r="H123" s="135"/>
      <c r="I123" s="139"/>
      <c r="J123" s="135"/>
      <c r="K123" s="140"/>
      <c r="L123" s="140"/>
      <c r="M123" s="140"/>
      <c r="N123" s="140"/>
      <c r="O123" s="140"/>
    </row>
    <row r="124" spans="2:15" x14ac:dyDescent="0.35">
      <c r="B124" s="134"/>
      <c r="C124" s="135"/>
      <c r="D124" s="138"/>
      <c r="E124" s="135"/>
      <c r="F124" s="135"/>
      <c r="G124" s="135"/>
      <c r="H124" s="135"/>
      <c r="I124" s="139"/>
      <c r="J124" s="135"/>
      <c r="K124" s="140"/>
      <c r="L124" s="140"/>
      <c r="M124" s="140"/>
      <c r="N124" s="140"/>
      <c r="O124" s="140"/>
    </row>
    <row r="125" spans="2:15" x14ac:dyDescent="0.35">
      <c r="B125" s="134"/>
      <c r="C125" s="135"/>
      <c r="D125" s="138"/>
      <c r="E125" s="135"/>
      <c r="F125" s="135"/>
      <c r="G125" s="135"/>
      <c r="H125" s="135"/>
      <c r="I125" s="139"/>
      <c r="J125" s="135"/>
      <c r="K125" s="140"/>
      <c r="L125" s="140"/>
      <c r="M125" s="140"/>
      <c r="N125" s="140"/>
      <c r="O125" s="140"/>
    </row>
    <row r="126" spans="2:15" x14ac:dyDescent="0.35">
      <c r="B126" s="134"/>
      <c r="C126" s="135"/>
      <c r="D126" s="138"/>
      <c r="E126" s="135"/>
      <c r="F126" s="135"/>
      <c r="G126" s="135"/>
      <c r="H126" s="135"/>
      <c r="I126" s="139"/>
      <c r="J126" s="135"/>
      <c r="K126" s="140"/>
      <c r="L126" s="140"/>
      <c r="M126" s="140"/>
      <c r="N126" s="140"/>
      <c r="O126" s="140"/>
    </row>
    <row r="127" spans="2:15" x14ac:dyDescent="0.35">
      <c r="B127" s="134"/>
      <c r="C127" s="135"/>
      <c r="D127" s="138"/>
      <c r="E127" s="135"/>
      <c r="F127" s="135"/>
      <c r="G127" s="135"/>
      <c r="H127" s="135"/>
      <c r="I127" s="139"/>
      <c r="J127" s="135"/>
      <c r="K127" s="140"/>
      <c r="L127" s="140"/>
      <c r="M127" s="140"/>
      <c r="N127" s="140"/>
      <c r="O127" s="140"/>
    </row>
    <row r="128" spans="2:15" x14ac:dyDescent="0.35">
      <c r="B128" s="134"/>
      <c r="C128" s="135"/>
      <c r="D128" s="138"/>
      <c r="E128" s="135"/>
      <c r="F128" s="135"/>
      <c r="G128" s="135"/>
      <c r="H128" s="135"/>
      <c r="I128" s="139"/>
      <c r="J128" s="135"/>
      <c r="K128" s="140"/>
      <c r="L128" s="140"/>
      <c r="M128" s="140"/>
      <c r="N128" s="140"/>
      <c r="O128" s="140"/>
    </row>
    <row r="129" spans="2:15" x14ac:dyDescent="0.35">
      <c r="B129" s="134"/>
      <c r="C129" s="135"/>
      <c r="D129" s="138"/>
      <c r="E129" s="135"/>
      <c r="F129" s="135"/>
      <c r="G129" s="135"/>
      <c r="H129" s="135"/>
      <c r="I129" s="139"/>
      <c r="J129" s="135"/>
      <c r="K129" s="140"/>
      <c r="L129" s="140"/>
      <c r="M129" s="140"/>
      <c r="N129" s="140"/>
      <c r="O129" s="140"/>
    </row>
    <row r="130" spans="2:15" x14ac:dyDescent="0.35">
      <c r="B130" s="134"/>
      <c r="C130" s="135"/>
      <c r="D130" s="138"/>
      <c r="E130" s="135"/>
      <c r="F130" s="135"/>
      <c r="G130" s="135"/>
      <c r="H130" s="135"/>
      <c r="I130" s="139"/>
      <c r="J130" s="135"/>
      <c r="K130" s="140"/>
      <c r="L130" s="140"/>
      <c r="M130" s="140"/>
      <c r="N130" s="140"/>
      <c r="O130" s="140"/>
    </row>
    <row r="131" spans="2:15" x14ac:dyDescent="0.35">
      <c r="G131" s="2"/>
    </row>
  </sheetData>
  <sheetProtection algorithmName="SHA-512" hashValue="trhm89hUqa856N0kz2yZp5jrbszPzIC0uwKd4OL+RI83RAV95p64nXLdPbioKE/W03WnwbqKJhnJLU0i2TeQxw==" saltValue="zqB13WlNUu6ZafLf83ulJQ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A1:AG131"/>
  <sheetViews>
    <sheetView topLeftCell="A82" zoomScale="80" zoomScaleNormal="80" workbookViewId="0">
      <selection activeCell="K60" sqref="K60"/>
    </sheetView>
  </sheetViews>
  <sheetFormatPr defaultRowHeight="14.5" x14ac:dyDescent="0.35"/>
  <cols>
    <col min="8" max="8" width="12.7265625" customWidth="1"/>
    <col min="9" max="9" width="10.54296875" customWidth="1"/>
    <col min="11" max="15" width="10.453125" customWidth="1"/>
    <col min="17" max="17" width="9.7265625" customWidth="1"/>
    <col min="20" max="20" width="12.7265625" customWidth="1"/>
    <col min="23" max="23" width="8.90625" customWidth="1"/>
  </cols>
  <sheetData>
    <row r="1" spans="1:33" ht="58" x14ac:dyDescent="0.35">
      <c r="B1" s="75" t="s">
        <v>208</v>
      </c>
      <c r="C1" s="84">
        <f>InputOutput!B13</f>
        <v>0.65</v>
      </c>
      <c r="D1" s="84">
        <f>InputOutput!C13</f>
        <v>0.26</v>
      </c>
      <c r="E1" s="84">
        <f>InputOutput!D13</f>
        <v>0.26</v>
      </c>
      <c r="I1" s="134"/>
      <c r="L1" t="s">
        <v>225</v>
      </c>
      <c r="M1">
        <f>4*M10</f>
        <v>100</v>
      </c>
      <c r="N1">
        <f>4*N10</f>
        <v>112</v>
      </c>
      <c r="Z1" s="3">
        <f>D1</f>
        <v>0.26</v>
      </c>
      <c r="AE1" s="3">
        <f>E1</f>
        <v>0.26</v>
      </c>
    </row>
    <row r="2" spans="1:33" x14ac:dyDescent="0.35">
      <c r="C2">
        <f>(C51-C5)/9</f>
        <v>2.6685822645900004</v>
      </c>
      <c r="D2">
        <f>(D51-D5)/9</f>
        <v>1.6166860952342939E-2</v>
      </c>
      <c r="E2">
        <f>(E51-E5)/9</f>
        <v>5.8998080671042029E-4</v>
      </c>
      <c r="I2" s="134"/>
      <c r="L2" t="s">
        <v>224</v>
      </c>
      <c r="M2">
        <f>3.75*M10</f>
        <v>93.75</v>
      </c>
      <c r="N2">
        <f>3.75*N10</f>
        <v>105</v>
      </c>
      <c r="Z2">
        <f>(Z51-Z5)/9</f>
        <v>1.5677396097439511E-2</v>
      </c>
      <c r="AE2">
        <f>(AE51-AE5)/9</f>
        <v>5.5459813505955523E-4</v>
      </c>
    </row>
    <row r="3" spans="1:33" x14ac:dyDescent="0.35">
      <c r="C3">
        <f>C60/20</f>
        <v>0.79903319142022555</v>
      </c>
      <c r="I3" s="134"/>
      <c r="Z3" s="130">
        <f>Z48</f>
        <v>0.60557344778995981</v>
      </c>
      <c r="AE3" s="130">
        <f>AE48</f>
        <v>2.434199193708618E-2</v>
      </c>
    </row>
    <row r="4" spans="1:33" x14ac:dyDescent="0.35">
      <c r="C4" s="3">
        <f>(1-C1)</f>
        <v>0.35</v>
      </c>
      <c r="D4" s="3">
        <f t="shared" ref="D4:E4" si="0">(1-D1)</f>
        <v>0.74</v>
      </c>
      <c r="E4" s="3">
        <f t="shared" si="0"/>
        <v>0.74</v>
      </c>
      <c r="I4" s="134"/>
      <c r="Z4" s="3">
        <f t="shared" ref="Z4" si="1">(1-Z1)</f>
        <v>0.74</v>
      </c>
      <c r="AE4" s="3">
        <f t="shared" ref="AE4" si="2">(1-AE1)</f>
        <v>0.74</v>
      </c>
    </row>
    <row r="5" spans="1:33" x14ac:dyDescent="0.35">
      <c r="A5" t="s">
        <v>0</v>
      </c>
      <c r="C5">
        <f>C48*C4</f>
        <v>15.418591988065913</v>
      </c>
      <c r="D5">
        <f>D48*D4</f>
        <v>0.4614825154362483</v>
      </c>
      <c r="E5">
        <f>E48*E4</f>
        <v>1.8978715444612746E-2</v>
      </c>
      <c r="F5">
        <f>N10</f>
        <v>28</v>
      </c>
      <c r="G5">
        <v>265</v>
      </c>
      <c r="I5" s="135"/>
      <c r="L5" t="s">
        <v>212</v>
      </c>
      <c r="M5">
        <v>0.75</v>
      </c>
      <c r="N5">
        <f>M5</f>
        <v>0.75</v>
      </c>
      <c r="Z5">
        <f>Z3*Z4</f>
        <v>0.44812435136457024</v>
      </c>
      <c r="AE5">
        <f>AE3*AE4</f>
        <v>1.8013074033443773E-2</v>
      </c>
    </row>
    <row r="6" spans="1:33" x14ac:dyDescent="0.35">
      <c r="B6" t="s">
        <v>1</v>
      </c>
      <c r="C6" t="s">
        <v>5</v>
      </c>
      <c r="D6" t="s">
        <v>5</v>
      </c>
      <c r="E6" t="s">
        <v>5</v>
      </c>
      <c r="F6" t="s">
        <v>7</v>
      </c>
      <c r="G6" t="s">
        <v>10</v>
      </c>
      <c r="I6" s="134"/>
      <c r="L6" t="s">
        <v>213</v>
      </c>
      <c r="M6">
        <v>0.25</v>
      </c>
      <c r="N6">
        <f t="shared" ref="N6:N8" si="3">M6</f>
        <v>0.25</v>
      </c>
      <c r="Z6" s="88">
        <f>1-Z60/Z48</f>
        <v>0.25999999999999956</v>
      </c>
      <c r="AA6" s="88">
        <f>1-AA60/AA48</f>
        <v>0.50969877826891841</v>
      </c>
      <c r="AB6" s="88">
        <f>1-AB60/AB48</f>
        <v>0.26722783017133478</v>
      </c>
      <c r="AE6" s="88">
        <f>1-AE60/AE48</f>
        <v>0.25999999999999945</v>
      </c>
      <c r="AF6" s="88">
        <f t="shared" ref="AF6:AG6" si="4">1-AF60/AF48</f>
        <v>0.50969877826891841</v>
      </c>
      <c r="AG6" s="88">
        <f t="shared" si="4"/>
        <v>0.27270473132485906</v>
      </c>
    </row>
    <row r="7" spans="1:33" ht="43.5" x14ac:dyDescent="0.35">
      <c r="B7" t="s">
        <v>1</v>
      </c>
      <c r="C7" t="s">
        <v>2</v>
      </c>
      <c r="D7" t="s">
        <v>3</v>
      </c>
      <c r="E7" t="s">
        <v>4</v>
      </c>
      <c r="F7" t="str">
        <f>D7</f>
        <v>CH4</v>
      </c>
      <c r="G7" t="str">
        <f>E7</f>
        <v>N2O</v>
      </c>
      <c r="H7" t="s">
        <v>8</v>
      </c>
      <c r="J7" s="75"/>
      <c r="K7" s="75" t="s">
        <v>207</v>
      </c>
      <c r="L7" t="s">
        <v>214</v>
      </c>
      <c r="M7">
        <v>100</v>
      </c>
      <c r="N7">
        <f t="shared" si="3"/>
        <v>100</v>
      </c>
      <c r="U7" t="s">
        <v>239</v>
      </c>
      <c r="V7" t="s">
        <v>238</v>
      </c>
    </row>
    <row r="8" spans="1:33" x14ac:dyDescent="0.35">
      <c r="C8" s="2"/>
      <c r="D8" s="1"/>
      <c r="E8" s="1"/>
      <c r="F8" s="2"/>
      <c r="G8" s="2"/>
      <c r="H8" s="2"/>
      <c r="L8" t="s">
        <v>218</v>
      </c>
      <c r="M8">
        <v>20</v>
      </c>
      <c r="N8">
        <f t="shared" si="3"/>
        <v>20</v>
      </c>
    </row>
    <row r="9" spans="1:33" x14ac:dyDescent="0.35">
      <c r="C9" s="2"/>
      <c r="D9" s="1"/>
      <c r="E9" s="1"/>
      <c r="F9" s="2"/>
      <c r="G9" s="2"/>
      <c r="H9" s="2"/>
      <c r="M9" t="s">
        <v>216</v>
      </c>
      <c r="N9" s="76" t="s">
        <v>217</v>
      </c>
    </row>
    <row r="10" spans="1:33" x14ac:dyDescent="0.35">
      <c r="C10" s="2"/>
      <c r="D10" s="1"/>
      <c r="E10" s="1"/>
      <c r="F10" s="2"/>
      <c r="G10" s="2"/>
      <c r="H10" s="2"/>
      <c r="L10" t="s">
        <v>215</v>
      </c>
      <c r="M10">
        <v>25</v>
      </c>
      <c r="N10" s="76">
        <v>28</v>
      </c>
    </row>
    <row r="11" spans="1:33" x14ac:dyDescent="0.35">
      <c r="C11" s="2"/>
      <c r="D11" s="1"/>
      <c r="E11" s="1"/>
      <c r="F11" s="2"/>
      <c r="G11" s="2"/>
      <c r="H11" s="2"/>
      <c r="L11" t="s">
        <v>219</v>
      </c>
      <c r="M11">
        <f>M5*M7/M8</f>
        <v>3.75</v>
      </c>
      <c r="N11" s="76">
        <f>N5*N7/N8</f>
        <v>3.75</v>
      </c>
    </row>
    <row r="12" spans="1:33" x14ac:dyDescent="0.35">
      <c r="C12" s="2"/>
      <c r="D12" s="1"/>
      <c r="E12" s="1"/>
      <c r="F12" s="2"/>
      <c r="G12" s="2"/>
      <c r="H12" s="2"/>
      <c r="L12" t="s">
        <v>220</v>
      </c>
      <c r="M12" s="1">
        <f>D49</f>
        <v>0.60727248931136102</v>
      </c>
      <c r="N12" s="69">
        <f>M12</f>
        <v>0.60727248931136102</v>
      </c>
    </row>
    <row r="13" spans="1:33" x14ac:dyDescent="0.35">
      <c r="C13" s="2"/>
      <c r="D13" s="1"/>
      <c r="E13" s="1"/>
      <c r="F13" s="2"/>
      <c r="G13" s="2"/>
      <c r="H13" s="2"/>
      <c r="L13" t="s">
        <v>221</v>
      </c>
      <c r="M13" s="1">
        <f>D29</f>
        <v>0.60985790475145341</v>
      </c>
      <c r="N13" s="69">
        <f>M13</f>
        <v>0.60985790475145341</v>
      </c>
    </row>
    <row r="14" spans="1:33" x14ac:dyDescent="0.35">
      <c r="C14" s="2"/>
      <c r="D14" s="1"/>
      <c r="E14" s="1"/>
      <c r="F14" s="2"/>
      <c r="G14" s="2"/>
      <c r="H14" s="2"/>
      <c r="L14" s="76" t="s">
        <v>222</v>
      </c>
      <c r="M14" s="77">
        <f>(M11*(M12-M13)+M12*M6)*M10</f>
        <v>3.5530703606873453</v>
      </c>
      <c r="N14" s="77">
        <f>(N11*(N12-N13)+N12*N6)*N10</f>
        <v>3.9794388039698267</v>
      </c>
    </row>
    <row r="15" spans="1:33" x14ac:dyDescent="0.35">
      <c r="C15" s="2"/>
      <c r="D15" s="1"/>
      <c r="E15" s="1"/>
      <c r="F15" s="2"/>
      <c r="G15" s="2"/>
      <c r="H15" s="2"/>
      <c r="L15" s="76" t="s">
        <v>223</v>
      </c>
      <c r="M15" s="77">
        <f>M12*M1-M13*M2</f>
        <v>3.5530703606873431</v>
      </c>
      <c r="N15" s="77">
        <f>N12*N1-N13*N2</f>
        <v>3.9794388039698276</v>
      </c>
    </row>
    <row r="16" spans="1:33" x14ac:dyDescent="0.35">
      <c r="C16" s="2"/>
      <c r="D16" s="1"/>
      <c r="E16" s="1"/>
      <c r="F16" s="2"/>
      <c r="G16" s="2"/>
      <c r="H16" s="2"/>
    </row>
    <row r="17" spans="2:10" x14ac:dyDescent="0.35">
      <c r="C17" s="2"/>
      <c r="D17" s="1"/>
      <c r="E17" s="1"/>
      <c r="F17" s="2"/>
      <c r="G17" s="2"/>
      <c r="H17" s="2"/>
    </row>
    <row r="18" spans="2:10" x14ac:dyDescent="0.35">
      <c r="C18" s="2"/>
      <c r="D18" s="1"/>
      <c r="E18" s="1"/>
      <c r="F18" s="2"/>
      <c r="G18" s="2"/>
      <c r="H18" s="2"/>
    </row>
    <row r="19" spans="2:10" x14ac:dyDescent="0.35">
      <c r="C19" s="2"/>
      <c r="D19" s="1"/>
      <c r="E19" s="1"/>
      <c r="F19" s="2"/>
      <c r="G19" s="2"/>
      <c r="H19" s="2"/>
    </row>
    <row r="20" spans="2:10" x14ac:dyDescent="0.35">
      <c r="B20">
        <v>1990</v>
      </c>
      <c r="C20" s="68">
        <f>'CO2 1990-2019'!E80/1000</f>
        <v>37.503901917692637</v>
      </c>
      <c r="D20" s="69">
        <f>'CH4 1990-2019'!E80/1000</f>
        <v>0.56846617435307711</v>
      </c>
      <c r="E20" s="69">
        <f>'N2O 1990-2019'!E81/1000</f>
        <v>2.6227661646226468E-2</v>
      </c>
      <c r="F20" s="2">
        <f t="shared" ref="F20:G60" si="5">D20*F$5</f>
        <v>15.917052881886159</v>
      </c>
      <c r="G20" s="2">
        <f t="shared" si="5"/>
        <v>6.9503303362500137</v>
      </c>
      <c r="H20" s="2">
        <f t="shared" ref="H20:H60" si="6">SUM(F20:G20)+C20</f>
        <v>60.371285135828813</v>
      </c>
      <c r="I20" s="2"/>
      <c r="J20" s="2"/>
    </row>
    <row r="21" spans="2:10" x14ac:dyDescent="0.35">
      <c r="B21">
        <f>B20+1</f>
        <v>1991</v>
      </c>
      <c r="C21" s="68">
        <f>'CO2 1990-2019'!E81/1000</f>
        <v>38.099012193795097</v>
      </c>
      <c r="D21" s="69">
        <f>'CH4 1990-2019'!E81/1000</f>
        <v>0.57899497527056076</v>
      </c>
      <c r="E21" s="69">
        <f>'N2O 1990-2019'!E82/1000</f>
        <v>2.554114757699584E-2</v>
      </c>
      <c r="F21" s="2">
        <f t="shared" si="5"/>
        <v>16.2118593075757</v>
      </c>
      <c r="G21" s="2">
        <f t="shared" si="5"/>
        <v>6.7684041079038977</v>
      </c>
      <c r="H21" s="2">
        <f t="shared" si="6"/>
        <v>61.079275609274696</v>
      </c>
      <c r="I21" s="2"/>
      <c r="J21" s="2"/>
    </row>
    <row r="22" spans="2:10" x14ac:dyDescent="0.35">
      <c r="B22">
        <f t="shared" ref="B22:B85" si="7">B21+1</f>
        <v>1992</v>
      </c>
      <c r="C22" s="68">
        <f>'CO2 1990-2019'!E82/1000</f>
        <v>37.716183401651868</v>
      </c>
      <c r="D22" s="69">
        <f>'CH4 1990-2019'!E82/1000</f>
        <v>0.58638316837148285</v>
      </c>
      <c r="E22" s="69">
        <f>'N2O 1990-2019'!E83/1000</f>
        <v>2.5204417941327273E-2</v>
      </c>
      <c r="F22" s="2">
        <f t="shared" si="5"/>
        <v>16.418728714401521</v>
      </c>
      <c r="G22" s="2">
        <f t="shared" si="5"/>
        <v>6.6791707544517269</v>
      </c>
      <c r="H22" s="2">
        <f t="shared" si="6"/>
        <v>60.814082870505118</v>
      </c>
      <c r="I22" s="2"/>
      <c r="J22" s="2"/>
    </row>
    <row r="23" spans="2:10" x14ac:dyDescent="0.35">
      <c r="B23">
        <f t="shared" si="7"/>
        <v>1993</v>
      </c>
      <c r="C23" s="68">
        <f>'CO2 1990-2019'!E83/1000</f>
        <v>37.813894147276059</v>
      </c>
      <c r="D23" s="69">
        <f>'CH4 1990-2019'!E83/1000</f>
        <v>0.59483377727766906</v>
      </c>
      <c r="E23" s="69">
        <f>'N2O 1990-2019'!E84/1000</f>
        <v>2.5697521605793531E-2</v>
      </c>
      <c r="F23" s="2">
        <f t="shared" si="5"/>
        <v>16.655345763774733</v>
      </c>
      <c r="G23" s="2">
        <f t="shared" si="5"/>
        <v>6.8098432255352854</v>
      </c>
      <c r="H23" s="2">
        <f t="shared" si="6"/>
        <v>61.279083136586081</v>
      </c>
      <c r="I23" s="2"/>
      <c r="J23" s="2"/>
    </row>
    <row r="24" spans="2:10" x14ac:dyDescent="0.35">
      <c r="B24">
        <f t="shared" si="7"/>
        <v>1994</v>
      </c>
      <c r="C24" s="68">
        <f>'CO2 1990-2019'!E84/1000</f>
        <v>39.097461645272396</v>
      </c>
      <c r="D24" s="69">
        <f>'CH4 1990-2019'!E84/1000</f>
        <v>0.59526602098909942</v>
      </c>
      <c r="E24" s="69">
        <f>'N2O 1990-2019'!E85/1000</f>
        <v>2.6660195601452181E-2</v>
      </c>
      <c r="F24" s="2">
        <f t="shared" si="5"/>
        <v>16.667448587694786</v>
      </c>
      <c r="G24" s="2">
        <f t="shared" si="5"/>
        <v>7.0649518343848277</v>
      </c>
      <c r="H24" s="2">
        <f t="shared" si="6"/>
        <v>62.829862067352011</v>
      </c>
      <c r="I24" s="2"/>
      <c r="J24" s="2"/>
    </row>
    <row r="25" spans="2:10" x14ac:dyDescent="0.35">
      <c r="B25">
        <f t="shared" si="7"/>
        <v>1995</v>
      </c>
      <c r="C25" s="68">
        <f>'CO2 1990-2019'!E85/1000</f>
        <v>41.117756580617204</v>
      </c>
      <c r="D25" s="69">
        <f>'CH4 1990-2019'!E85/1000</f>
        <v>0.60059169683666336</v>
      </c>
      <c r="E25" s="69">
        <f>'N2O 1990-2019'!E86/1000</f>
        <v>2.7848538989904151E-2</v>
      </c>
      <c r="F25" s="2">
        <f t="shared" si="5"/>
        <v>16.816567511426573</v>
      </c>
      <c r="G25" s="2">
        <f t="shared" si="5"/>
        <v>7.3798628323245996</v>
      </c>
      <c r="H25" s="2">
        <f t="shared" si="6"/>
        <v>65.314186924368386</v>
      </c>
      <c r="I25" s="2"/>
      <c r="J25" s="2"/>
    </row>
    <row r="26" spans="2:10" x14ac:dyDescent="0.35">
      <c r="B26">
        <f t="shared" si="7"/>
        <v>1996</v>
      </c>
      <c r="C26" s="68">
        <f>'CO2 1990-2019'!E86/1000</f>
        <v>42.401848154429679</v>
      </c>
      <c r="D26" s="69">
        <f>'CH4 1990-2019'!E86/1000</f>
        <v>0.61511089079967096</v>
      </c>
      <c r="E26" s="69">
        <f>'N2O 1990-2019'!E87/1000</f>
        <v>2.8242940550096497E-2</v>
      </c>
      <c r="F26" s="2">
        <f t="shared" si="5"/>
        <v>17.223104942390787</v>
      </c>
      <c r="G26" s="2">
        <f t="shared" si="5"/>
        <v>7.484379245775572</v>
      </c>
      <c r="H26" s="2">
        <f t="shared" si="6"/>
        <v>67.109332342596034</v>
      </c>
      <c r="I26" s="2"/>
      <c r="J26" s="2"/>
    </row>
    <row r="27" spans="2:10" x14ac:dyDescent="0.35">
      <c r="B27">
        <f t="shared" si="7"/>
        <v>1997</v>
      </c>
      <c r="C27" s="68">
        <f>'CO2 1990-2019'!E87/1000</f>
        <v>43.245116683187582</v>
      </c>
      <c r="D27" s="69">
        <f>'CH4 1990-2019'!E87/1000</f>
        <v>0.61488733682276098</v>
      </c>
      <c r="E27" s="69">
        <f>'N2O 1990-2019'!E88/1000</f>
        <v>2.7991006485181408E-2</v>
      </c>
      <c r="F27" s="2">
        <f t="shared" si="5"/>
        <v>17.216845431037306</v>
      </c>
      <c r="G27" s="2">
        <f t="shared" si="5"/>
        <v>7.4176167185730728</v>
      </c>
      <c r="H27" s="2">
        <f t="shared" si="6"/>
        <v>67.879578832797961</v>
      </c>
      <c r="I27" s="2"/>
      <c r="J27" s="2"/>
    </row>
    <row r="28" spans="2:10" x14ac:dyDescent="0.35">
      <c r="B28">
        <f t="shared" si="7"/>
        <v>1998</v>
      </c>
      <c r="C28" s="68">
        <f>'CO2 1990-2019'!E88/1000</f>
        <v>44.87012369632712</v>
      </c>
      <c r="D28" s="69">
        <f>'CH4 1990-2019'!E88/1000</f>
        <v>0.62689098869315008</v>
      </c>
      <c r="E28" s="69">
        <f>'N2O 1990-2019'!E89/1000</f>
        <v>2.9429943506676829E-2</v>
      </c>
      <c r="F28" s="2">
        <f t="shared" si="5"/>
        <v>17.552947683408203</v>
      </c>
      <c r="G28" s="2">
        <f t="shared" si="5"/>
        <v>7.7989350292693596</v>
      </c>
      <c r="H28" s="2">
        <f t="shared" si="6"/>
        <v>70.222006409004678</v>
      </c>
      <c r="I28" s="2"/>
      <c r="J28" s="2"/>
    </row>
    <row r="29" spans="2:10" x14ac:dyDescent="0.35">
      <c r="B29">
        <f t="shared" si="7"/>
        <v>1999</v>
      </c>
      <c r="C29" s="68">
        <f>'CO2 1990-2019'!E89/1000</f>
        <v>46.906820617827236</v>
      </c>
      <c r="D29" s="69">
        <f>'CH4 1990-2019'!E89/1000</f>
        <v>0.60985790475145341</v>
      </c>
      <c r="E29" s="69">
        <f>'N2O 1990-2019'!E90/1000</f>
        <v>2.8645206014373741E-2</v>
      </c>
      <c r="F29" s="2">
        <f t="shared" si="5"/>
        <v>17.076021333040696</v>
      </c>
      <c r="G29" s="2">
        <f t="shared" si="5"/>
        <v>7.5909795938090419</v>
      </c>
      <c r="H29" s="2">
        <f t="shared" si="6"/>
        <v>71.573821544676974</v>
      </c>
      <c r="I29" s="2"/>
      <c r="J29" s="2"/>
    </row>
    <row r="30" spans="2:10" x14ac:dyDescent="0.35">
      <c r="B30">
        <f t="shared" si="7"/>
        <v>2000</v>
      </c>
      <c r="C30" s="68">
        <f>'CO2 1990-2019'!E90/1000</f>
        <v>51.264446064409647</v>
      </c>
      <c r="D30" s="69">
        <f>'CH4 1990-2019'!E90/1000</f>
        <v>0.59281659514673379</v>
      </c>
      <c r="E30" s="69">
        <f>'N2O 1990-2019'!E91/1000</f>
        <v>2.7713149439546961E-2</v>
      </c>
      <c r="F30" s="2">
        <f t="shared" si="5"/>
        <v>16.598864664108547</v>
      </c>
      <c r="G30" s="2">
        <f t="shared" si="5"/>
        <v>7.3439846014799448</v>
      </c>
      <c r="H30" s="2">
        <f t="shared" si="6"/>
        <v>75.207295329998146</v>
      </c>
      <c r="I30" s="2"/>
      <c r="J30" s="2"/>
    </row>
    <row r="31" spans="2:10" x14ac:dyDescent="0.35">
      <c r="B31">
        <f t="shared" si="7"/>
        <v>2001</v>
      </c>
      <c r="C31" s="68">
        <f>'CO2 1990-2019'!E91/1000</f>
        <v>54.663990010623849</v>
      </c>
      <c r="D31" s="69">
        <f>'CH4 1990-2019'!E91/1000</f>
        <v>0.60653930034350212</v>
      </c>
      <c r="E31" s="69">
        <f>'N2O 1990-2019'!E92/1000</f>
        <v>2.6361520111669961E-2</v>
      </c>
      <c r="F31" s="2">
        <f t="shared" si="5"/>
        <v>16.983100409618061</v>
      </c>
      <c r="G31" s="2">
        <f t="shared" si="5"/>
        <v>6.9858028295925401</v>
      </c>
      <c r="H31" s="2">
        <f t="shared" si="6"/>
        <v>78.632893249834453</v>
      </c>
      <c r="I31" s="2"/>
      <c r="J31" s="2"/>
    </row>
    <row r="32" spans="2:10" x14ac:dyDescent="0.35">
      <c r="B32">
        <f t="shared" si="7"/>
        <v>2002</v>
      </c>
      <c r="C32" s="68">
        <f>'CO2 1990-2019'!E92/1000</f>
        <v>53.050683185293025</v>
      </c>
      <c r="D32" s="69">
        <f>'CH4 1990-2019'!E92/1000</f>
        <v>0.59584131612224078</v>
      </c>
      <c r="E32" s="69">
        <f>'N2O 1990-2019'!E93/1000</f>
        <v>2.5205268301960501E-2</v>
      </c>
      <c r="F32" s="2">
        <f t="shared" si="5"/>
        <v>16.683556851422743</v>
      </c>
      <c r="G32" s="2">
        <f t="shared" si="5"/>
        <v>6.6793961000195328</v>
      </c>
      <c r="H32" s="2">
        <f t="shared" si="6"/>
        <v>76.413636136735306</v>
      </c>
      <c r="I32" s="2"/>
      <c r="J32" s="2"/>
    </row>
    <row r="33" spans="2:33" x14ac:dyDescent="0.35">
      <c r="B33">
        <f t="shared" si="7"/>
        <v>2003</v>
      </c>
      <c r="C33" s="68">
        <f>'CO2 1990-2019'!E93/1000</f>
        <v>52.911204011821269</v>
      </c>
      <c r="D33" s="69">
        <f>'CH4 1990-2019'!E93/1000</f>
        <v>0.6315771849487738</v>
      </c>
      <c r="E33" s="69">
        <f>'N2O 1990-2019'!E94/1000</f>
        <v>2.5051707160096713E-2</v>
      </c>
      <c r="F33" s="2">
        <f t="shared" si="5"/>
        <v>17.684161178565667</v>
      </c>
      <c r="G33" s="2">
        <f t="shared" si="5"/>
        <v>6.6387023974256287</v>
      </c>
      <c r="H33" s="2">
        <f t="shared" si="6"/>
        <v>77.234067587812561</v>
      </c>
      <c r="I33" s="2"/>
      <c r="J33" s="2"/>
    </row>
    <row r="34" spans="2:33" x14ac:dyDescent="0.35">
      <c r="B34">
        <f t="shared" si="7"/>
        <v>2004</v>
      </c>
      <c r="C34" s="68">
        <f>'CO2 1990-2019'!E94/1000</f>
        <v>51.897755100973896</v>
      </c>
      <c r="D34" s="69">
        <f>'CH4 1990-2019'!E94/1000</f>
        <v>0.58670195261344882</v>
      </c>
      <c r="E34" s="69">
        <f>'N2O 1990-2019'!E95/1000</f>
        <v>2.4462801837163501E-2</v>
      </c>
      <c r="F34" s="2">
        <f t="shared" si="5"/>
        <v>16.427654673176566</v>
      </c>
      <c r="G34" s="2">
        <f t="shared" si="5"/>
        <v>6.4826424868483281</v>
      </c>
      <c r="H34" s="2">
        <f t="shared" si="6"/>
        <v>74.808052260998792</v>
      </c>
      <c r="I34" s="2"/>
      <c r="J34" s="2"/>
    </row>
    <row r="35" spans="2:33" x14ac:dyDescent="0.35">
      <c r="B35">
        <f t="shared" si="7"/>
        <v>2005</v>
      </c>
      <c r="C35" s="68">
        <f>'CO2 1990-2019'!E95/1000</f>
        <v>54.59560870610084</v>
      </c>
      <c r="D35" s="69">
        <f>'CH4 1990-2019'!E95/1000</f>
        <v>0.57896199008081672</v>
      </c>
      <c r="E35" s="69">
        <f>'N2O 1990-2019'!E96/1000</f>
        <v>2.4090144176706841E-2</v>
      </c>
      <c r="F35" s="2">
        <f t="shared" si="5"/>
        <v>16.210935722262867</v>
      </c>
      <c r="G35" s="2">
        <f t="shared" si="5"/>
        <v>6.3838882068273133</v>
      </c>
      <c r="H35" s="2">
        <f t="shared" si="6"/>
        <v>77.19043263519103</v>
      </c>
      <c r="I35" s="2"/>
      <c r="J35" s="2"/>
    </row>
    <row r="36" spans="2:33" x14ac:dyDescent="0.35">
      <c r="B36">
        <f t="shared" si="7"/>
        <v>2006</v>
      </c>
      <c r="C36" s="68">
        <f>'CO2 1990-2019'!E96/1000</f>
        <v>54.461539202046147</v>
      </c>
      <c r="D36" s="69">
        <f>'CH4 1990-2019'!E96/1000</f>
        <v>0.58365900940295345</v>
      </c>
      <c r="E36" s="69">
        <f>'N2O 1990-2019'!E97/1000</f>
        <v>2.3416369558615369E-2</v>
      </c>
      <c r="F36" s="2">
        <f t="shared" si="5"/>
        <v>16.342452263282695</v>
      </c>
      <c r="G36" s="2">
        <f t="shared" si="5"/>
        <v>6.2053379330330731</v>
      </c>
      <c r="H36" s="2">
        <f t="shared" si="6"/>
        <v>77.009329398361913</v>
      </c>
      <c r="I36" s="2"/>
      <c r="J36" s="2"/>
    </row>
    <row r="37" spans="2:33" x14ac:dyDescent="0.35">
      <c r="B37">
        <f t="shared" si="7"/>
        <v>2007</v>
      </c>
      <c r="C37" s="68">
        <f>'CO2 1990-2019'!E97/1000</f>
        <v>53.746045769965306</v>
      </c>
      <c r="D37" s="69">
        <f>'CH4 1990-2019'!E97/1000</f>
        <v>0.54949163157015002</v>
      </c>
      <c r="E37" s="69">
        <f>'N2O 1990-2019'!E98/1000</f>
        <v>2.2587866931128592E-2</v>
      </c>
      <c r="F37" s="2">
        <f t="shared" si="5"/>
        <v>15.3857656839642</v>
      </c>
      <c r="G37" s="2">
        <f t="shared" si="5"/>
        <v>5.9857847367490766</v>
      </c>
      <c r="H37" s="2">
        <f t="shared" si="6"/>
        <v>75.117596190678583</v>
      </c>
      <c r="I37" s="2"/>
      <c r="J37" s="2"/>
    </row>
    <row r="38" spans="2:33" x14ac:dyDescent="0.35">
      <c r="B38">
        <f t="shared" si="7"/>
        <v>2008</v>
      </c>
      <c r="C38" s="68">
        <f>'CO2 1990-2019'!E98/1000</f>
        <v>52.68158170157681</v>
      </c>
      <c r="D38" s="69">
        <f>'CH4 1990-2019'!E98/1000</f>
        <v>0.54327868568762094</v>
      </c>
      <c r="E38" s="69">
        <f>'N2O 1990-2019'!E99/1000</f>
        <v>2.252824456889773E-2</v>
      </c>
      <c r="F38" s="2">
        <f t="shared" si="5"/>
        <v>15.211803199253387</v>
      </c>
      <c r="G38" s="2">
        <f t="shared" si="5"/>
        <v>5.9699848107578983</v>
      </c>
      <c r="H38" s="2">
        <f t="shared" si="6"/>
        <v>73.863369711588092</v>
      </c>
      <c r="I38" s="2"/>
      <c r="J38" s="2"/>
    </row>
    <row r="39" spans="2:33" x14ac:dyDescent="0.35">
      <c r="B39">
        <f t="shared" si="7"/>
        <v>2009</v>
      </c>
      <c r="C39" s="68">
        <f>'CO2 1990-2019'!E99/1000</f>
        <v>47.163320009204178</v>
      </c>
      <c r="D39" s="69">
        <f>'CH4 1990-2019'!E99/1000</f>
        <v>0.52849395261365861</v>
      </c>
      <c r="E39" s="69">
        <f>'N2O 1990-2019'!E100/1000</f>
        <v>2.1984221435495593E-2</v>
      </c>
      <c r="F39" s="2">
        <f t="shared" si="5"/>
        <v>14.797830673182441</v>
      </c>
      <c r="G39" s="2">
        <f t="shared" si="5"/>
        <v>5.8258186804063321</v>
      </c>
      <c r="H39" s="2">
        <f t="shared" si="6"/>
        <v>67.786969362792945</v>
      </c>
      <c r="I39" s="2"/>
      <c r="J39" s="2"/>
    </row>
    <row r="40" spans="2:33" x14ac:dyDescent="0.35">
      <c r="B40">
        <f t="shared" si="7"/>
        <v>2010</v>
      </c>
      <c r="C40" s="68">
        <f>'CO2 1990-2019'!E100/1000</f>
        <v>48.004538579802293</v>
      </c>
      <c r="D40" s="69">
        <f>'CH4 1990-2019'!E100/1000</f>
        <v>0.53088913019285489</v>
      </c>
      <c r="E40" s="69">
        <f>'N2O 1990-2019'!E101/1000</f>
        <v>2.3205006831574712E-2</v>
      </c>
      <c r="F40" s="2">
        <f t="shared" si="5"/>
        <v>14.864895645399937</v>
      </c>
      <c r="G40" s="2">
        <f t="shared" si="5"/>
        <v>6.1493268103672989</v>
      </c>
      <c r="H40" s="2">
        <f t="shared" si="6"/>
        <v>69.018761035569526</v>
      </c>
      <c r="I40" s="2"/>
      <c r="J40" s="2"/>
    </row>
    <row r="41" spans="2:33" x14ac:dyDescent="0.35">
      <c r="B41">
        <f t="shared" si="7"/>
        <v>2011</v>
      </c>
      <c r="C41" s="68">
        <f>'CO2 1990-2019'!E101/1000</f>
        <v>43.82620233701207</v>
      </c>
      <c r="D41" s="69">
        <f>'CH4 1990-2019'!E101/1000</f>
        <v>0.52067847685625956</v>
      </c>
      <c r="E41" s="69">
        <f>'N2O 1990-2019'!E102/1000</f>
        <v>2.1596923732384501E-2</v>
      </c>
      <c r="F41" s="2">
        <f t="shared" si="5"/>
        <v>14.578997351975268</v>
      </c>
      <c r="G41" s="2">
        <f t="shared" si="5"/>
        <v>5.723184789081893</v>
      </c>
      <c r="H41" s="2">
        <f t="shared" si="6"/>
        <v>64.128384478069222</v>
      </c>
      <c r="I41" s="2"/>
      <c r="J41" s="2"/>
    </row>
    <row r="42" spans="2:33" x14ac:dyDescent="0.35">
      <c r="B42">
        <f t="shared" si="7"/>
        <v>2012</v>
      </c>
      <c r="C42" s="68">
        <f>'CO2 1990-2019'!E102/1000</f>
        <v>43.046736237018365</v>
      </c>
      <c r="D42" s="69">
        <f>'CH4 1990-2019'!E102/1000</f>
        <v>0.54122860081163016</v>
      </c>
      <c r="E42" s="69">
        <f>'N2O 1990-2019'!E103/1000</f>
        <v>2.2350835962576289E-2</v>
      </c>
      <c r="F42" s="2">
        <f t="shared" si="5"/>
        <v>15.154400822725645</v>
      </c>
      <c r="G42" s="2">
        <f t="shared" si="5"/>
        <v>5.9229715300827168</v>
      </c>
      <c r="H42" s="2">
        <f t="shared" si="6"/>
        <v>64.124108589826733</v>
      </c>
      <c r="I42" s="2"/>
      <c r="J42" s="2"/>
      <c r="W42" s="82"/>
    </row>
    <row r="43" spans="2:33" x14ac:dyDescent="0.35">
      <c r="B43">
        <f t="shared" si="7"/>
        <v>2013</v>
      </c>
      <c r="C43" s="68">
        <f>'CO2 1990-2019'!E103/1000</f>
        <v>42.143034779693046</v>
      </c>
      <c r="D43" s="69">
        <f>'CH4 1990-2019'!E103/1000</f>
        <v>0.55563293823158555</v>
      </c>
      <c r="E43" s="69">
        <f>'N2O 1990-2019'!E104/1000</f>
        <v>2.3861676615019551E-2</v>
      </c>
      <c r="F43" s="2">
        <f t="shared" si="5"/>
        <v>15.557722270484396</v>
      </c>
      <c r="G43" s="2">
        <f t="shared" si="5"/>
        <v>6.323344302980181</v>
      </c>
      <c r="H43" s="2">
        <f t="shared" si="6"/>
        <v>64.024101353157619</v>
      </c>
      <c r="I43" s="2"/>
      <c r="J43" s="2"/>
      <c r="X43" s="2"/>
    </row>
    <row r="44" spans="2:33" x14ac:dyDescent="0.35">
      <c r="B44">
        <f t="shared" si="7"/>
        <v>2014</v>
      </c>
      <c r="C44" s="68">
        <f>'CO2 1990-2019'!E104/1000</f>
        <v>43.002058721298987</v>
      </c>
      <c r="D44" s="69">
        <f>'CH4 1990-2019'!E104/1000</f>
        <v>0.56469371673730473</v>
      </c>
      <c r="E44" s="69">
        <f>'N2O 1990-2019'!E105/1000</f>
        <v>2.3087068532383508E-2</v>
      </c>
      <c r="F44" s="2">
        <f t="shared" si="5"/>
        <v>15.811424068644532</v>
      </c>
      <c r="G44" s="2">
        <f t="shared" si="5"/>
        <v>6.1180731610816297</v>
      </c>
      <c r="H44" s="2">
        <f t="shared" si="6"/>
        <v>64.931555951025146</v>
      </c>
      <c r="I44" s="2"/>
      <c r="J44" s="2"/>
      <c r="X44" s="2"/>
    </row>
    <row r="45" spans="2:33" x14ac:dyDescent="0.35">
      <c r="B45">
        <f t="shared" si="7"/>
        <v>2015</v>
      </c>
      <c r="C45" s="68">
        <f>'CO2 1990-2019'!E105/1000</f>
        <v>44.636500221951238</v>
      </c>
      <c r="D45" s="69">
        <f>'CH4 1990-2019'!E105/1000</f>
        <v>0.57912274054536717</v>
      </c>
      <c r="E45" s="69">
        <f>'N2O 1990-2019'!E106/1000</f>
        <v>2.3139800195035771E-2</v>
      </c>
      <c r="F45" s="2">
        <f t="shared" si="5"/>
        <v>16.215436735270281</v>
      </c>
      <c r="G45" s="2">
        <f t="shared" si="5"/>
        <v>6.1320470516844789</v>
      </c>
      <c r="H45" s="2">
        <f t="shared" si="6"/>
        <v>66.983984008905992</v>
      </c>
      <c r="I45" s="2"/>
      <c r="J45" s="2"/>
      <c r="X45" s="2"/>
    </row>
    <row r="46" spans="2:33" x14ac:dyDescent="0.35">
      <c r="B46">
        <f t="shared" si="7"/>
        <v>2016</v>
      </c>
      <c r="C46" s="68">
        <f>'CO2 1990-2019'!E106/1000</f>
        <v>45.653374656401347</v>
      </c>
      <c r="D46" s="69">
        <f>'CH4 1990-2019'!E106/1000</f>
        <v>0.59326897730059025</v>
      </c>
      <c r="E46" s="69">
        <f>'N2O 1990-2019'!E107/1000</f>
        <v>2.3402918953505311E-2</v>
      </c>
      <c r="F46" s="2">
        <f t="shared" si="5"/>
        <v>16.611531364416528</v>
      </c>
      <c r="G46" s="2">
        <f t="shared" si="5"/>
        <v>6.2017735226789075</v>
      </c>
      <c r="H46" s="2">
        <f t="shared" si="6"/>
        <v>68.466679543496781</v>
      </c>
      <c r="I46" s="2"/>
      <c r="J46" s="2"/>
      <c r="X46" s="2"/>
    </row>
    <row r="47" spans="2:33" ht="43.5" x14ac:dyDescent="0.35">
      <c r="B47">
        <f t="shared" si="7"/>
        <v>2017</v>
      </c>
      <c r="C47" s="68">
        <f>'CO2 1990-2019'!E107/1000</f>
        <v>45.728105317317954</v>
      </c>
      <c r="D47" s="69">
        <f>'CH4 1990-2019'!E107/1000</f>
        <v>0.62003341514735055</v>
      </c>
      <c r="E47" s="69">
        <f>'N2O 1990-2019'!E108/1000</f>
        <v>2.4736923302581051E-2</v>
      </c>
      <c r="F47" s="2">
        <f t="shared" si="5"/>
        <v>17.360935624125815</v>
      </c>
      <c r="G47" s="2">
        <f t="shared" si="5"/>
        <v>6.5552846751839784</v>
      </c>
      <c r="H47" s="2">
        <f t="shared" si="6"/>
        <v>69.644325616627754</v>
      </c>
      <c r="I47" s="2"/>
      <c r="J47" s="2"/>
      <c r="K47" s="75" t="str">
        <f>K7</f>
        <v>% reduction GWP100</v>
      </c>
      <c r="L47" s="75"/>
      <c r="M47" s="75" t="s">
        <v>209</v>
      </c>
      <c r="N47" s="75" t="s">
        <v>210</v>
      </c>
      <c r="O47" s="75" t="s">
        <v>211</v>
      </c>
      <c r="Y47" t="s">
        <v>1</v>
      </c>
      <c r="Z47" t="s">
        <v>335</v>
      </c>
      <c r="AA47" t="s">
        <v>279</v>
      </c>
      <c r="AB47" t="s">
        <v>336</v>
      </c>
      <c r="AE47" t="s">
        <v>337</v>
      </c>
      <c r="AF47" t="s">
        <v>279</v>
      </c>
      <c r="AG47" t="s">
        <v>338</v>
      </c>
    </row>
    <row r="48" spans="2:33" x14ac:dyDescent="0.35">
      <c r="B48">
        <f t="shared" si="7"/>
        <v>2018</v>
      </c>
      <c r="C48" s="70">
        <f>TIM_Output!AJ14/1000</f>
        <v>44.05311996590261</v>
      </c>
      <c r="D48" s="70">
        <f>AB48</f>
        <v>0.62362502085979499</v>
      </c>
      <c r="E48" s="71">
        <f>AG48</f>
        <v>2.5646912762990196E-2</v>
      </c>
      <c r="F48" s="70">
        <f t="shared" si="5"/>
        <v>17.461500584074258</v>
      </c>
      <c r="G48" s="70">
        <f t="shared" si="5"/>
        <v>6.7964318821924019</v>
      </c>
      <c r="H48" s="70">
        <f>SUM(F48:G48)+C48</f>
        <v>68.311052432169276</v>
      </c>
      <c r="I48" s="70"/>
      <c r="J48" s="70"/>
      <c r="K48" s="74">
        <f t="shared" ref="K48:K90" si="8">1-H48/H$48</f>
        <v>0</v>
      </c>
      <c r="L48" s="73"/>
      <c r="M48" s="3">
        <f>1-C48/C$48</f>
        <v>0</v>
      </c>
      <c r="N48" s="3">
        <f>1-D48/D$48</f>
        <v>0</v>
      </c>
      <c r="O48" s="3">
        <f>1-E48/E$48</f>
        <v>0</v>
      </c>
      <c r="Y48">
        <f>B48</f>
        <v>2018</v>
      </c>
      <c r="Z48" s="130">
        <f>'CH4 1990-2019'!D108/1000</f>
        <v>0.60557344778995981</v>
      </c>
      <c r="AA48" s="130">
        <f>'LULUCF Models'!S2/1000</f>
        <v>1.8051573069835136E-2</v>
      </c>
      <c r="AB48" s="130">
        <f>SUM(Z48:AA48)</f>
        <v>0.62362502085979499</v>
      </c>
      <c r="AE48">
        <f>'N2O 1990-2019'!D109/1000</f>
        <v>2.434199193708618E-2</v>
      </c>
      <c r="AF48">
        <f>'LULUCF Models'!T2/1000</f>
        <v>1.3049208259040157E-3</v>
      </c>
      <c r="AG48">
        <f>SUM(AE48:AF48)</f>
        <v>2.5646912762990196E-2</v>
      </c>
    </row>
    <row r="49" spans="2:33" x14ac:dyDescent="0.35">
      <c r="B49">
        <f t="shared" si="7"/>
        <v>2019</v>
      </c>
      <c r="C49" s="69">
        <f>TIM_Output!AJ15/1000</f>
        <v>42.847003375390081</v>
      </c>
      <c r="D49" s="80">
        <f t="shared" ref="D49:D60" si="9">AB49</f>
        <v>0.60727248931136102</v>
      </c>
      <c r="E49" s="80">
        <f t="shared" ref="E49:E60" si="10">AG49</f>
        <v>2.4309378074883786E-2</v>
      </c>
      <c r="F49" s="2">
        <f t="shared" si="5"/>
        <v>17.003629700718108</v>
      </c>
      <c r="G49" s="2">
        <f t="shared" si="5"/>
        <v>6.4419851898442033</v>
      </c>
      <c r="H49" s="2">
        <f>SUM(F49:G49)+C49</f>
        <v>66.292618265952399</v>
      </c>
      <c r="I49" s="2"/>
      <c r="J49" s="2"/>
      <c r="K49" s="74">
        <f t="shared" si="8"/>
        <v>2.9547695348730252E-2</v>
      </c>
      <c r="L49" s="73"/>
      <c r="M49" s="3">
        <f t="shared" ref="M49:M90" si="11">1-C49/C$48</f>
        <v>2.7378687172351701E-2</v>
      </c>
      <c r="N49" s="3">
        <f t="shared" ref="N49:N80" si="12">1-D49/D$48</f>
        <v>2.6221737424660496E-2</v>
      </c>
      <c r="O49" s="3">
        <f t="shared" ref="O49:O80" si="13">1-E49/E$48</f>
        <v>5.215187888175532E-2</v>
      </c>
      <c r="Y49">
        <f t="shared" ref="Y49:Y60" si="14">B49</f>
        <v>2019</v>
      </c>
      <c r="Z49" s="130">
        <f>'CH4 1990-2019'!D109/1000</f>
        <v>0.58922091624152584</v>
      </c>
      <c r="AA49" s="130">
        <f>'LULUCF Models'!S3/1000</f>
        <v>1.8051573069835136E-2</v>
      </c>
      <c r="AB49" s="130">
        <f>SUM(Z49:AA49)</f>
        <v>0.60727248931136102</v>
      </c>
      <c r="AE49">
        <f>'N2O 1990-2019'!D110/1000</f>
        <v>2.300445724897977E-2</v>
      </c>
      <c r="AF49">
        <f>'LULUCF Models'!T3/1000</f>
        <v>1.3049208259040157E-3</v>
      </c>
      <c r="AG49">
        <f>SUM(AE49:AF49)</f>
        <v>2.4309378074883786E-2</v>
      </c>
    </row>
    <row r="50" spans="2:33" x14ac:dyDescent="0.35">
      <c r="B50">
        <f t="shared" si="7"/>
        <v>2020</v>
      </c>
      <c r="C50" s="80">
        <f>TIM_Output!AJ16/1000</f>
        <v>37.397075829274357</v>
      </c>
      <c r="D50" s="80">
        <f t="shared" si="9"/>
        <v>0.60563517202162709</v>
      </c>
      <c r="E50" s="80">
        <f t="shared" si="10"/>
        <v>2.4191018892461238E-2</v>
      </c>
      <c r="F50" s="2">
        <f t="shared" si="5"/>
        <v>16.95778481660556</v>
      </c>
      <c r="G50" s="2">
        <f t="shared" si="5"/>
        <v>6.4106200065022279</v>
      </c>
      <c r="H50" s="2">
        <f t="shared" si="6"/>
        <v>60.765480652382145</v>
      </c>
      <c r="I50" s="2"/>
      <c r="J50" s="2"/>
      <c r="K50" s="74">
        <f t="shared" si="8"/>
        <v>0.11045901814028769</v>
      </c>
      <c r="L50" s="73"/>
      <c r="M50" s="3">
        <f t="shared" si="11"/>
        <v>0.15109132206254794</v>
      </c>
      <c r="N50" s="3">
        <f t="shared" si="12"/>
        <v>2.8847221064615458E-2</v>
      </c>
      <c r="O50" s="3">
        <f t="shared" si="13"/>
        <v>5.6766827414404752E-2</v>
      </c>
      <c r="P50" s="3">
        <f>M50</f>
        <v>0.15109132206254794</v>
      </c>
      <c r="Q50" s="3">
        <f t="shared" ref="Q50:R50" si="15">N50</f>
        <v>2.8847221064615458E-2</v>
      </c>
      <c r="R50" s="3">
        <f t="shared" si="15"/>
        <v>5.6766827414404752E-2</v>
      </c>
      <c r="S50" s="3">
        <f>K50</f>
        <v>0.11045901814028769</v>
      </c>
      <c r="T50" s="3"/>
      <c r="Y50">
        <f t="shared" si="14"/>
        <v>2020</v>
      </c>
      <c r="Z50" s="130">
        <f>Z49</f>
        <v>0.58922091624152584</v>
      </c>
      <c r="AA50" s="130">
        <f>'LULUCF Models'!S4/1000</f>
        <v>1.6414255780101205E-2</v>
      </c>
      <c r="AB50" s="130">
        <f>SUM(Z50:AA50)</f>
        <v>0.60563517202162709</v>
      </c>
      <c r="AE50" s="130">
        <f>AE49</f>
        <v>2.300445724897977E-2</v>
      </c>
      <c r="AF50">
        <f>'LULUCF Models'!T4/1000</f>
        <v>1.1865616434814702E-3</v>
      </c>
      <c r="AG50">
        <f t="shared" ref="AG50:AG60" si="16">SUM(AE50:AF50)</f>
        <v>2.4191018892461238E-2</v>
      </c>
    </row>
    <row r="51" spans="2:33" x14ac:dyDescent="0.35">
      <c r="B51">
        <f t="shared" si="7"/>
        <v>2021</v>
      </c>
      <c r="C51" s="80">
        <f>TIM_Output!AJ17/1000</f>
        <v>39.435832369375916</v>
      </c>
      <c r="D51" s="80">
        <f t="shared" si="9"/>
        <v>0.60698426400733474</v>
      </c>
      <c r="E51" s="80">
        <f t="shared" si="10"/>
        <v>2.4288542705006529E-2</v>
      </c>
      <c r="F51" s="2">
        <f t="shared" si="5"/>
        <v>16.995559392205372</v>
      </c>
      <c r="G51" s="2">
        <f t="shared" si="5"/>
        <v>6.4364638168267305</v>
      </c>
      <c r="H51" s="2">
        <f t="shared" si="6"/>
        <v>62.867855578408019</v>
      </c>
      <c r="I51" s="2"/>
      <c r="J51" s="2"/>
      <c r="K51" s="74">
        <f t="shared" si="8"/>
        <v>7.9682520762890952E-2</v>
      </c>
      <c r="L51" s="73"/>
      <c r="M51" s="3">
        <f t="shared" si="11"/>
        <v>0.1048118180982528</v>
      </c>
      <c r="N51" s="3">
        <f t="shared" si="12"/>
        <v>2.6683914685651233E-2</v>
      </c>
      <c r="O51" s="3">
        <f t="shared" si="13"/>
        <v>5.2964271783380701E-2</v>
      </c>
      <c r="Y51">
        <f t="shared" si="14"/>
        <v>2021</v>
      </c>
      <c r="Z51" s="130">
        <f t="shared" ref="Z51" si="17">Z50</f>
        <v>0.58922091624152584</v>
      </c>
      <c r="AA51" s="130">
        <f>'LULUCF Models'!S5/1000</f>
        <v>1.7763347765808922E-2</v>
      </c>
      <c r="AB51" s="130">
        <f t="shared" ref="AB51:AB60" si="18">SUM(Z51:AA51)</f>
        <v>0.60698426400733474</v>
      </c>
      <c r="AE51" s="130">
        <f t="shared" ref="AE51" si="19">AE50</f>
        <v>2.300445724897977E-2</v>
      </c>
      <c r="AF51">
        <f>'LULUCF Models'!T5/1000</f>
        <v>1.2840854560267601E-3</v>
      </c>
      <c r="AG51">
        <f t="shared" si="16"/>
        <v>2.4288542705006529E-2</v>
      </c>
    </row>
    <row r="52" spans="2:33" x14ac:dyDescent="0.35">
      <c r="B52">
        <f t="shared" si="7"/>
        <v>2022</v>
      </c>
      <c r="C52" s="80">
        <f>TIM_Output!AJ18/1000</f>
        <v>39.776119634842686</v>
      </c>
      <c r="D52" s="80">
        <f t="shared" si="9"/>
        <v>0.59071904207222603</v>
      </c>
      <c r="E52" s="80">
        <f t="shared" si="10"/>
        <v>2.3691451532104148E-2</v>
      </c>
      <c r="F52" s="2">
        <f t="shared" si="5"/>
        <v>16.54013317802233</v>
      </c>
      <c r="G52" s="2">
        <f t="shared" si="5"/>
        <v>6.2782346560075988</v>
      </c>
      <c r="H52" s="2">
        <f t="shared" si="6"/>
        <v>62.594487468872614</v>
      </c>
      <c r="I52" s="2"/>
      <c r="J52" s="2"/>
      <c r="K52" s="74">
        <f t="shared" si="8"/>
        <v>8.368433452219215E-2</v>
      </c>
      <c r="L52" s="73"/>
      <c r="M52" s="3">
        <f t="shared" si="11"/>
        <v>9.7087342153526213E-2</v>
      </c>
      <c r="N52" s="3">
        <f t="shared" si="12"/>
        <v>5.2765648726219028E-2</v>
      </c>
      <c r="O52" s="3">
        <f t="shared" si="13"/>
        <v>7.6245482212887628E-2</v>
      </c>
      <c r="Y52">
        <f t="shared" si="14"/>
        <v>2022</v>
      </c>
      <c r="Z52" s="97">
        <f>Z51-Z$2</f>
        <v>0.57354352014408638</v>
      </c>
      <c r="AA52" s="130">
        <f>'LULUCF Models'!S6/1000</f>
        <v>1.7175521928139651E-2</v>
      </c>
      <c r="AB52" s="130">
        <f t="shared" si="18"/>
        <v>0.59071904207222603</v>
      </c>
      <c r="AE52" s="97">
        <f>AE51-AE$2</f>
        <v>2.2449859113920216E-2</v>
      </c>
      <c r="AF52">
        <f>'LULUCF Models'!T6/1000</f>
        <v>1.2415924181839303E-3</v>
      </c>
      <c r="AG52">
        <f t="shared" si="16"/>
        <v>2.3691451532104148E-2</v>
      </c>
    </row>
    <row r="53" spans="2:33" x14ac:dyDescent="0.35">
      <c r="B53">
        <f t="shared" si="7"/>
        <v>2023</v>
      </c>
      <c r="C53" s="80">
        <f>TIM_Output!AJ19/1000</f>
        <v>40.445772709846956</v>
      </c>
      <c r="D53" s="80">
        <f t="shared" si="9"/>
        <v>0.58041041384349545</v>
      </c>
      <c r="E53" s="80">
        <f t="shared" si="10"/>
        <v>2.3524953479747607E-2</v>
      </c>
      <c r="F53" s="2">
        <f t="shared" si="5"/>
        <v>16.251491587617874</v>
      </c>
      <c r="G53" s="2">
        <f t="shared" si="5"/>
        <v>6.2341126721331159</v>
      </c>
      <c r="H53" s="2">
        <f t="shared" si="6"/>
        <v>62.931376969597949</v>
      </c>
      <c r="I53" s="2"/>
      <c r="J53" s="2"/>
      <c r="K53" s="74">
        <f t="shared" si="8"/>
        <v>7.8752636228422546E-2</v>
      </c>
      <c r="L53" s="73"/>
      <c r="M53" s="3">
        <f t="shared" si="11"/>
        <v>8.1886305869998788E-2</v>
      </c>
      <c r="N53" s="3">
        <f t="shared" si="12"/>
        <v>6.9295819716661322E-2</v>
      </c>
      <c r="O53" s="3">
        <f t="shared" si="13"/>
        <v>8.2737415721423013E-2</v>
      </c>
      <c r="Y53">
        <f t="shared" si="14"/>
        <v>2023</v>
      </c>
      <c r="Z53" s="97">
        <f t="shared" ref="Z53:Z60" si="20">Z52-Z$2</f>
        <v>0.55786612404664693</v>
      </c>
      <c r="AA53" s="130">
        <f>'LULUCF Models'!S7/1000</f>
        <v>2.2544289796848513E-2</v>
      </c>
      <c r="AB53" s="130">
        <f t="shared" si="18"/>
        <v>0.58041041384349545</v>
      </c>
      <c r="AE53" s="97">
        <f t="shared" ref="AE53:AE60" si="21">AE52-AE$2</f>
        <v>2.1895260978860662E-2</v>
      </c>
      <c r="AF53">
        <f>'LULUCF Models'!T7/1000</f>
        <v>1.6296925008869442E-3</v>
      </c>
      <c r="AG53">
        <f t="shared" si="16"/>
        <v>2.3524953479747607E-2</v>
      </c>
    </row>
    <row r="54" spans="2:33" x14ac:dyDescent="0.35">
      <c r="B54">
        <f t="shared" si="7"/>
        <v>2024</v>
      </c>
      <c r="C54" s="80">
        <f>TIM_Output!AJ20/1000</f>
        <v>34.929556881996604</v>
      </c>
      <c r="D54" s="80">
        <f t="shared" si="9"/>
        <v>0.55956868358715939</v>
      </c>
      <c r="E54" s="80">
        <f t="shared" si="10"/>
        <v>2.2597033464661267E-2</v>
      </c>
      <c r="F54" s="2">
        <f t="shared" si="5"/>
        <v>15.667923140440463</v>
      </c>
      <c r="G54" s="2">
        <f t="shared" si="5"/>
        <v>5.9882138681352357</v>
      </c>
      <c r="H54" s="2">
        <f t="shared" si="6"/>
        <v>56.585693890572301</v>
      </c>
      <c r="I54" s="2"/>
      <c r="J54" s="2"/>
      <c r="K54" s="74">
        <f t="shared" si="8"/>
        <v>0.17164658022565071</v>
      </c>
      <c r="L54" s="73"/>
      <c r="M54" s="3">
        <f t="shared" si="11"/>
        <v>0.20710367599315782</v>
      </c>
      <c r="N54" s="3">
        <f t="shared" si="12"/>
        <v>0.1027161116536357</v>
      </c>
      <c r="O54" s="3">
        <f t="shared" si="13"/>
        <v>0.1189179893312563</v>
      </c>
      <c r="X54" s="75"/>
      <c r="Y54">
        <f t="shared" si="14"/>
        <v>2024</v>
      </c>
      <c r="Z54" s="97">
        <f t="shared" si="20"/>
        <v>0.54218872794920747</v>
      </c>
      <c r="AA54" s="130">
        <f>'LULUCF Models'!S8/1000</f>
        <v>1.7379955637951871E-2</v>
      </c>
      <c r="AB54" s="130">
        <f t="shared" si="18"/>
        <v>0.55956868358715939</v>
      </c>
      <c r="AE54" s="97">
        <f t="shared" si="21"/>
        <v>2.1340662843801109E-2</v>
      </c>
      <c r="AF54">
        <f>'LULUCF Models'!T8/1000</f>
        <v>1.2563706208601594E-3</v>
      </c>
      <c r="AG54">
        <f t="shared" si="16"/>
        <v>2.2597033464661267E-2</v>
      </c>
    </row>
    <row r="55" spans="2:33" x14ac:dyDescent="0.35">
      <c r="B55">
        <f t="shared" si="7"/>
        <v>2025</v>
      </c>
      <c r="C55" s="80">
        <f>TIM_Output!AJ21/1000</f>
        <v>30.904049544049634</v>
      </c>
      <c r="D55" s="80">
        <f t="shared" si="9"/>
        <v>0.54307598122403755</v>
      </c>
      <c r="E55" s="80">
        <f t="shared" si="10"/>
        <v>2.1983498076794825E-2</v>
      </c>
      <c r="F55" s="2">
        <f t="shared" si="5"/>
        <v>15.206127474273051</v>
      </c>
      <c r="G55" s="2">
        <f t="shared" si="5"/>
        <v>5.8256269903506288</v>
      </c>
      <c r="H55" s="2">
        <f t="shared" si="6"/>
        <v>51.935804008673315</v>
      </c>
      <c r="I55" s="2"/>
      <c r="J55" s="2"/>
      <c r="K55" s="74">
        <f t="shared" si="8"/>
        <v>0.23971594405980012</v>
      </c>
      <c r="L55" s="73"/>
      <c r="M55" s="3">
        <f t="shared" si="11"/>
        <v>0.2984821604469885</v>
      </c>
      <c r="N55" s="3">
        <f t="shared" si="12"/>
        <v>0.12916261686342234</v>
      </c>
      <c r="O55" s="3">
        <f t="shared" si="13"/>
        <v>0.14284037693152163</v>
      </c>
      <c r="P55" s="3">
        <f>M55</f>
        <v>0.2984821604469885</v>
      </c>
      <c r="Q55" s="3">
        <f t="shared" ref="Q55:R55" si="22">N55</f>
        <v>0.12916261686342234</v>
      </c>
      <c r="R55" s="3">
        <f t="shared" si="22"/>
        <v>0.14284037693152163</v>
      </c>
      <c r="S55" s="3">
        <f>K55</f>
        <v>0.23971594405980012</v>
      </c>
      <c r="T55" s="3"/>
      <c r="X55" s="75"/>
      <c r="Y55">
        <f t="shared" si="14"/>
        <v>2025</v>
      </c>
      <c r="Z55" s="97">
        <f t="shared" si="20"/>
        <v>0.52651133185176802</v>
      </c>
      <c r="AA55" s="130">
        <f>'LULUCF Models'!S9/1000</f>
        <v>1.6564649372269504E-2</v>
      </c>
      <c r="AB55" s="130">
        <f t="shared" si="18"/>
        <v>0.54307598122403755</v>
      </c>
      <c r="AE55" s="97">
        <f t="shared" si="21"/>
        <v>2.0786064708741555E-2</v>
      </c>
      <c r="AF55">
        <f>'LULUCF Models'!T9/1000</f>
        <v>1.1974333680532679E-3</v>
      </c>
      <c r="AG55">
        <f t="shared" si="16"/>
        <v>2.1983498076794825E-2</v>
      </c>
    </row>
    <row r="56" spans="2:33" x14ac:dyDescent="0.35">
      <c r="B56">
        <f t="shared" si="7"/>
        <v>2026</v>
      </c>
      <c r="C56" s="80">
        <f>TIM_Output!AJ22/1000</f>
        <v>26.410855673255206</v>
      </c>
      <c r="D56" s="80">
        <f t="shared" si="9"/>
        <v>0.52229202881377301</v>
      </c>
      <c r="E56" s="80">
        <f t="shared" si="10"/>
        <v>2.1059754734529351E-2</v>
      </c>
      <c r="F56" s="2">
        <f t="shared" si="5"/>
        <v>14.624176806785645</v>
      </c>
      <c r="G56" s="2">
        <f t="shared" si="5"/>
        <v>5.5808350046502779</v>
      </c>
      <c r="H56" s="2">
        <f t="shared" si="6"/>
        <v>46.61586748469113</v>
      </c>
      <c r="I56" s="2"/>
      <c r="J56" s="2"/>
      <c r="K56" s="74">
        <f t="shared" si="8"/>
        <v>0.31759406677302737</v>
      </c>
      <c r="L56" s="73"/>
      <c r="M56" s="3">
        <f t="shared" si="11"/>
        <v>0.40047706737462929</v>
      </c>
      <c r="N56" s="3">
        <f t="shared" si="12"/>
        <v>0.16249026042334491</v>
      </c>
      <c r="O56" s="3">
        <f t="shared" si="13"/>
        <v>0.17885809769199001</v>
      </c>
      <c r="P56" s="3"/>
      <c r="Q56" s="3"/>
      <c r="R56" s="3"/>
      <c r="X56" s="75"/>
      <c r="Y56">
        <f t="shared" si="14"/>
        <v>2026</v>
      </c>
      <c r="Z56" s="97">
        <f t="shared" si="20"/>
        <v>0.51083393575432856</v>
      </c>
      <c r="AA56" s="130">
        <f>'LULUCF Models'!S10/1000</f>
        <v>1.1458093059444422E-2</v>
      </c>
      <c r="AB56" s="130">
        <f t="shared" si="18"/>
        <v>0.52229202881377301</v>
      </c>
      <c r="AE56" s="97">
        <f t="shared" si="21"/>
        <v>2.0231466573682001E-2</v>
      </c>
      <c r="AF56">
        <f>'LULUCF Models'!T10/1000</f>
        <v>8.2828816084734938E-4</v>
      </c>
      <c r="AG56">
        <f t="shared" si="16"/>
        <v>2.1059754734529351E-2</v>
      </c>
    </row>
    <row r="57" spans="2:33" x14ac:dyDescent="0.35">
      <c r="B57">
        <f t="shared" si="7"/>
        <v>2027</v>
      </c>
      <c r="C57" s="80">
        <f>TIM_Output!AJ23/1000</f>
        <v>23.360660795095029</v>
      </c>
      <c r="D57" s="80">
        <f t="shared" si="9"/>
        <v>0.50621781880432237</v>
      </c>
      <c r="E57" s="80">
        <f t="shared" si="10"/>
        <v>2.0476471523892814E-2</v>
      </c>
      <c r="F57" s="2">
        <f t="shared" si="5"/>
        <v>14.174098926521026</v>
      </c>
      <c r="G57" s="2">
        <f t="shared" si="5"/>
        <v>5.4262649538315957</v>
      </c>
      <c r="H57" s="2">
        <f t="shared" si="6"/>
        <v>42.961024675447646</v>
      </c>
      <c r="I57" s="2"/>
      <c r="J57" s="2"/>
      <c r="K57" s="74">
        <f t="shared" si="8"/>
        <v>0.37109701657566185</v>
      </c>
      <c r="L57" s="73"/>
      <c r="M57" s="3">
        <f t="shared" si="11"/>
        <v>0.46971608791440134</v>
      </c>
      <c r="N57" s="3">
        <f t="shared" si="12"/>
        <v>0.18826570154866895</v>
      </c>
      <c r="O57" s="3">
        <f t="shared" si="13"/>
        <v>0.20160092120555706</v>
      </c>
      <c r="X57" s="75"/>
      <c r="Y57">
        <f t="shared" si="14"/>
        <v>2027</v>
      </c>
      <c r="Z57" s="97">
        <f t="shared" si="20"/>
        <v>0.49515653965688905</v>
      </c>
      <c r="AA57" s="130">
        <f>'LULUCF Models'!S11/1000</f>
        <v>1.1061279147433366E-2</v>
      </c>
      <c r="AB57" s="130">
        <f t="shared" si="18"/>
        <v>0.50621781880432237</v>
      </c>
      <c r="AE57" s="97">
        <f t="shared" si="21"/>
        <v>1.9676868438622448E-2</v>
      </c>
      <c r="AF57">
        <f>'LULUCF Models'!T11/1000</f>
        <v>7.9960308527036528E-4</v>
      </c>
      <c r="AG57">
        <f t="shared" si="16"/>
        <v>2.0476471523892814E-2</v>
      </c>
    </row>
    <row r="58" spans="2:33" x14ac:dyDescent="0.35">
      <c r="B58">
        <f t="shared" si="7"/>
        <v>2028</v>
      </c>
      <c r="C58" s="80">
        <f>TIM_Output!AJ24/1000</f>
        <v>20.337891552572088</v>
      </c>
      <c r="D58" s="80">
        <f t="shared" si="9"/>
        <v>0.48861667307996687</v>
      </c>
      <c r="E58" s="80">
        <f t="shared" si="10"/>
        <v>1.9782808447385985E-2</v>
      </c>
      <c r="F58" s="2">
        <f t="shared" si="5"/>
        <v>13.681266846239073</v>
      </c>
      <c r="G58" s="2">
        <f t="shared" si="5"/>
        <v>5.2424442385572858</v>
      </c>
      <c r="H58" s="2">
        <f t="shared" si="6"/>
        <v>39.261602637368448</v>
      </c>
      <c r="I58" s="2"/>
      <c r="J58" s="2"/>
      <c r="K58" s="74">
        <f t="shared" si="8"/>
        <v>0.4252525581222163</v>
      </c>
      <c r="L58" s="73"/>
      <c r="M58" s="3">
        <f t="shared" si="11"/>
        <v>0.53833255015050596</v>
      </c>
      <c r="N58" s="3">
        <f t="shared" si="12"/>
        <v>0.21648962640031888</v>
      </c>
      <c r="O58" s="3">
        <f t="shared" si="13"/>
        <v>0.22864757133912872</v>
      </c>
      <c r="R58" s="2"/>
      <c r="Y58">
        <f t="shared" si="14"/>
        <v>2028</v>
      </c>
      <c r="Z58" s="97">
        <f t="shared" si="20"/>
        <v>0.47947914355944954</v>
      </c>
      <c r="AA58" s="130">
        <f>'LULUCF Models'!S12/1000</f>
        <v>9.1375295205173082E-3</v>
      </c>
      <c r="AB58" s="130">
        <f t="shared" si="18"/>
        <v>0.48861667307996687</v>
      </c>
      <c r="AE58" s="97">
        <f t="shared" si="21"/>
        <v>1.9122270303562894E-2</v>
      </c>
      <c r="AF58">
        <f>'LULUCF Models'!T12/1000</f>
        <v>6.6053814382308941E-4</v>
      </c>
      <c r="AG58">
        <f t="shared" si="16"/>
        <v>1.9782808447385985E-2</v>
      </c>
    </row>
    <row r="59" spans="2:33" x14ac:dyDescent="0.35">
      <c r="B59">
        <f t="shared" si="7"/>
        <v>2029</v>
      </c>
      <c r="C59" s="80">
        <f>TIM_Output!AJ25/1000</f>
        <v>17.811873104552195</v>
      </c>
      <c r="D59" s="80">
        <f t="shared" si="9"/>
        <v>0.47184095056028047</v>
      </c>
      <c r="E59" s="80">
        <f t="shared" si="10"/>
        <v>1.9148813961854041E-2</v>
      </c>
      <c r="F59" s="2">
        <f t="shared" si="5"/>
        <v>13.211546615687853</v>
      </c>
      <c r="G59" s="2">
        <f t="shared" si="5"/>
        <v>5.0744356998913211</v>
      </c>
      <c r="H59" s="2">
        <f t="shared" si="6"/>
        <v>36.097855420131367</v>
      </c>
      <c r="I59" s="2"/>
      <c r="J59" s="2"/>
      <c r="K59" s="74">
        <f t="shared" si="8"/>
        <v>0.47156639906879783</v>
      </c>
      <c r="L59" s="73"/>
      <c r="M59" s="3">
        <f t="shared" si="11"/>
        <v>0.59567283501512047</v>
      </c>
      <c r="N59" s="3">
        <f t="shared" si="12"/>
        <v>0.24338996227292009</v>
      </c>
      <c r="O59" s="3">
        <f t="shared" si="13"/>
        <v>0.25336768059324644</v>
      </c>
      <c r="R59" s="2"/>
      <c r="X59" s="75"/>
      <c r="Y59">
        <f t="shared" si="14"/>
        <v>2029</v>
      </c>
      <c r="Z59" s="97">
        <f t="shared" si="20"/>
        <v>0.46380174746201003</v>
      </c>
      <c r="AA59" s="130">
        <f>'LULUCF Models'!S13/1000</f>
        <v>8.039203098270456E-3</v>
      </c>
      <c r="AB59" s="130">
        <f t="shared" si="18"/>
        <v>0.47184095056028047</v>
      </c>
      <c r="AE59" s="97">
        <f t="shared" si="21"/>
        <v>1.856767216850334E-2</v>
      </c>
      <c r="AF59">
        <f>'LULUCF Models'!T13/1000</f>
        <v>5.8114179335070075E-4</v>
      </c>
      <c r="AG59">
        <f t="shared" si="16"/>
        <v>1.9148813961854041E-2</v>
      </c>
    </row>
    <row r="60" spans="2:33" x14ac:dyDescent="0.35">
      <c r="B60">
        <f t="shared" si="7"/>
        <v>2030</v>
      </c>
      <c r="C60" s="71">
        <f>TIM_Output!AJ26/1000</f>
        <v>15.980663828404511</v>
      </c>
      <c r="D60" s="80">
        <f t="shared" si="9"/>
        <v>0.45697505969487856</v>
      </c>
      <c r="E60" s="80">
        <f t="shared" si="10"/>
        <v>1.8652878308646856E-2</v>
      </c>
      <c r="F60" s="70">
        <f t="shared" si="5"/>
        <v>12.795301671456599</v>
      </c>
      <c r="G60" s="70">
        <f t="shared" si="5"/>
        <v>4.9430127517914171</v>
      </c>
      <c r="H60" s="70">
        <f t="shared" si="6"/>
        <v>33.71897825165253</v>
      </c>
      <c r="I60" s="70"/>
      <c r="J60" s="70"/>
      <c r="K60" s="83">
        <f t="shared" si="8"/>
        <v>0.50639059052509239</v>
      </c>
      <c r="L60" s="73"/>
      <c r="M60" s="72">
        <f t="shared" si="11"/>
        <v>0.6372410435226008</v>
      </c>
      <c r="N60" s="72">
        <f t="shared" si="12"/>
        <v>0.26722783017133478</v>
      </c>
      <c r="O60" s="72">
        <f t="shared" si="13"/>
        <v>0.27270473132485906</v>
      </c>
      <c r="P60" s="3">
        <f>M60</f>
        <v>0.6372410435226008</v>
      </c>
      <c r="Q60" s="3">
        <f t="shared" ref="Q60:R60" si="23">N60</f>
        <v>0.26722783017133478</v>
      </c>
      <c r="R60" s="3">
        <f t="shared" si="23"/>
        <v>0.27270473132485906</v>
      </c>
      <c r="S60" s="3">
        <f>K60</f>
        <v>0.50639059052509239</v>
      </c>
      <c r="T60" s="3"/>
      <c r="X60" s="75"/>
      <c r="Y60">
        <f t="shared" si="14"/>
        <v>2030</v>
      </c>
      <c r="Z60" s="97">
        <f t="shared" si="20"/>
        <v>0.44812435136457052</v>
      </c>
      <c r="AA60" s="130">
        <f>'LULUCF Models'!S14/1000</f>
        <v>8.8507083303080592E-3</v>
      </c>
      <c r="AB60" s="130">
        <f t="shared" si="18"/>
        <v>0.45697505969487856</v>
      </c>
      <c r="AE60" s="97">
        <f t="shared" si="21"/>
        <v>1.8013074033443786E-2</v>
      </c>
      <c r="AF60">
        <f>'LULUCF Models'!T14/1000</f>
        <v>6.3980427520307095E-4</v>
      </c>
      <c r="AG60">
        <f t="shared" si="16"/>
        <v>1.8652878308646856E-2</v>
      </c>
    </row>
    <row r="61" spans="2:33" x14ac:dyDescent="0.35">
      <c r="B61">
        <f t="shared" si="7"/>
        <v>2031</v>
      </c>
      <c r="C61" s="70">
        <f>TIM_Output!AJ27/1000</f>
        <v>15.181630636984289</v>
      </c>
      <c r="D61" s="1">
        <f>D60*(1+I$1)</f>
        <v>0.45697505969487856</v>
      </c>
      <c r="E61" s="2">
        <f>E60*(1+I$1)</f>
        <v>1.8652878308646856E-2</v>
      </c>
      <c r="F61" s="2">
        <f t="shared" ref="F61:G76" si="24">D61*F$5</f>
        <v>12.795301671456599</v>
      </c>
      <c r="G61" s="2">
        <f t="shared" si="24"/>
        <v>4.9430127517914171</v>
      </c>
      <c r="H61" s="2">
        <f>SUM(F61:G61)+C61+U61</f>
        <v>32.672794422642738</v>
      </c>
      <c r="I61" s="2"/>
      <c r="J61" s="2"/>
      <c r="K61" s="74">
        <f t="shared" si="8"/>
        <v>0.52170559141822914</v>
      </c>
      <c r="L61" s="73"/>
      <c r="M61" s="3">
        <f t="shared" si="11"/>
        <v>0.65537899134647071</v>
      </c>
      <c r="N61" s="3">
        <f t="shared" si="12"/>
        <v>0.26722783017133478</v>
      </c>
      <c r="O61" s="3">
        <f t="shared" si="13"/>
        <v>0.27270473132485906</v>
      </c>
      <c r="U61" s="2">
        <f>U60+$A$79</f>
        <v>-0.24715063758957084</v>
      </c>
      <c r="V61" s="2">
        <f>U61</f>
        <v>-0.24715063758957084</v>
      </c>
    </row>
    <row r="62" spans="2:33" x14ac:dyDescent="0.35">
      <c r="B62">
        <f t="shared" si="7"/>
        <v>2032</v>
      </c>
      <c r="C62" s="70">
        <f>TIM_Output!AJ28/1000</f>
        <v>14.382597445564068</v>
      </c>
      <c r="D62" s="1">
        <f>D61*(1+I$1)</f>
        <v>0.45697505969487856</v>
      </c>
      <c r="E62" s="2">
        <f t="shared" ref="E62:E90" si="25">E61*(1+I$1)</f>
        <v>1.8652878308646856E-2</v>
      </c>
      <c r="F62" s="2">
        <f t="shared" si="24"/>
        <v>12.795301671456599</v>
      </c>
      <c r="G62" s="2">
        <f t="shared" si="24"/>
        <v>4.9430127517914171</v>
      </c>
      <c r="H62" s="2">
        <f t="shared" ref="H62:H90" si="26">SUM(F62:G62)+C62+U62</f>
        <v>31.626610593632947</v>
      </c>
      <c r="I62" s="2"/>
      <c r="J62" s="2"/>
      <c r="K62" s="74">
        <f t="shared" si="8"/>
        <v>0.53702059231136601</v>
      </c>
      <c r="L62" s="73"/>
      <c r="M62" s="3">
        <f t="shared" si="11"/>
        <v>0.67351693917034061</v>
      </c>
      <c r="N62" s="3">
        <f t="shared" si="12"/>
        <v>0.26722783017133478</v>
      </c>
      <c r="O62" s="3">
        <f t="shared" si="13"/>
        <v>0.27270473132485906</v>
      </c>
      <c r="U62" s="2">
        <f>U61+$A$79</f>
        <v>-0.49430127517914169</v>
      </c>
      <c r="V62" s="2">
        <f>U62+V61</f>
        <v>-0.74145191276871247</v>
      </c>
    </row>
    <row r="63" spans="2:33" x14ac:dyDescent="0.35">
      <c r="B63">
        <f t="shared" si="7"/>
        <v>2033</v>
      </c>
      <c r="C63" s="70">
        <f>TIM_Output!AJ29/1000</f>
        <v>13.583564254143836</v>
      </c>
      <c r="D63" s="1">
        <f t="shared" ref="D63:D90" si="27">D62*(1+I$1)</f>
        <v>0.45697505969487856</v>
      </c>
      <c r="E63" s="2">
        <f t="shared" si="25"/>
        <v>1.8652878308646856E-2</v>
      </c>
      <c r="F63" s="2">
        <f t="shared" si="24"/>
        <v>12.795301671456599</v>
      </c>
      <c r="G63" s="2">
        <f t="shared" si="24"/>
        <v>4.9430127517914171</v>
      </c>
      <c r="H63" s="2">
        <f t="shared" si="26"/>
        <v>30.580426764623137</v>
      </c>
      <c r="I63" s="2"/>
      <c r="J63" s="2"/>
      <c r="K63" s="74">
        <f t="shared" si="8"/>
        <v>0.55233559320450321</v>
      </c>
      <c r="L63" s="73"/>
      <c r="M63" s="3">
        <f t="shared" si="11"/>
        <v>0.69165488699421063</v>
      </c>
      <c r="N63" s="3">
        <f t="shared" si="12"/>
        <v>0.26722783017133478</v>
      </c>
      <c r="O63" s="3">
        <f t="shared" si="13"/>
        <v>0.27270473132485906</v>
      </c>
      <c r="U63" s="2">
        <f t="shared" ref="U63:U80" si="28">U62+$A$79</f>
        <v>-0.74145191276871247</v>
      </c>
      <c r="V63" s="2">
        <f t="shared" ref="V63:V93" si="29">U63+V62</f>
        <v>-1.4829038255374249</v>
      </c>
      <c r="X63" s="75"/>
    </row>
    <row r="64" spans="2:33" x14ac:dyDescent="0.35">
      <c r="B64">
        <f t="shared" si="7"/>
        <v>2034</v>
      </c>
      <c r="C64" s="70">
        <f>TIM_Output!AJ30/1000</f>
        <v>12.784531062723604</v>
      </c>
      <c r="D64" s="1">
        <f t="shared" si="27"/>
        <v>0.45697505969487856</v>
      </c>
      <c r="E64" s="2">
        <f t="shared" si="25"/>
        <v>1.8652878308646856E-2</v>
      </c>
      <c r="F64" s="2">
        <f t="shared" si="24"/>
        <v>12.795301671456599</v>
      </c>
      <c r="G64" s="2">
        <f t="shared" si="24"/>
        <v>4.9430127517914171</v>
      </c>
      <c r="H64" s="2">
        <f t="shared" si="26"/>
        <v>29.534242935613339</v>
      </c>
      <c r="I64" s="2"/>
      <c r="J64" s="2"/>
      <c r="K64" s="74">
        <f t="shared" si="8"/>
        <v>0.56765059409764018</v>
      </c>
      <c r="L64" s="73"/>
      <c r="M64" s="3">
        <f t="shared" si="11"/>
        <v>0.70979283481808075</v>
      </c>
      <c r="N64" s="3">
        <f t="shared" si="12"/>
        <v>0.26722783017133478</v>
      </c>
      <c r="O64" s="3">
        <f t="shared" si="13"/>
        <v>0.27270473132485906</v>
      </c>
      <c r="U64" s="2">
        <f t="shared" si="28"/>
        <v>-0.98860255035828337</v>
      </c>
      <c r="V64" s="2">
        <f t="shared" si="29"/>
        <v>-2.4715063758957081</v>
      </c>
      <c r="X64" s="75"/>
    </row>
    <row r="65" spans="1:22" x14ac:dyDescent="0.35">
      <c r="B65">
        <f t="shared" si="7"/>
        <v>2035</v>
      </c>
      <c r="C65" s="70">
        <f>TIM_Output!AJ31/1000</f>
        <v>11.985497871303387</v>
      </c>
      <c r="D65" s="1">
        <f t="shared" si="27"/>
        <v>0.45697505969487856</v>
      </c>
      <c r="E65" s="2">
        <f t="shared" si="25"/>
        <v>1.8652878308646856E-2</v>
      </c>
      <c r="F65" s="2">
        <f t="shared" si="24"/>
        <v>12.795301671456599</v>
      </c>
      <c r="G65" s="2">
        <f t="shared" si="24"/>
        <v>4.9430127517914171</v>
      </c>
      <c r="H65" s="2">
        <f t="shared" si="26"/>
        <v>28.488059106603551</v>
      </c>
      <c r="I65" s="2"/>
      <c r="J65" s="2"/>
      <c r="K65" s="74">
        <f t="shared" si="8"/>
        <v>0.58296559499077705</v>
      </c>
      <c r="L65" s="73"/>
      <c r="M65" s="3">
        <f t="shared" si="11"/>
        <v>0.72793078264195055</v>
      </c>
      <c r="N65" s="3">
        <f t="shared" si="12"/>
        <v>0.26722783017133478</v>
      </c>
      <c r="O65" s="3">
        <f t="shared" si="13"/>
        <v>0.27270473132485906</v>
      </c>
      <c r="U65" s="2">
        <f t="shared" si="28"/>
        <v>-1.2357531879478543</v>
      </c>
      <c r="V65" s="2">
        <f t="shared" si="29"/>
        <v>-3.7072595638435626</v>
      </c>
    </row>
    <row r="66" spans="1:22" x14ac:dyDescent="0.35">
      <c r="B66">
        <f t="shared" si="7"/>
        <v>2036</v>
      </c>
      <c r="C66" s="70">
        <f>TIM_Output!AJ32/1000</f>
        <v>11.186464679883153</v>
      </c>
      <c r="D66" s="1">
        <f t="shared" si="27"/>
        <v>0.45697505969487856</v>
      </c>
      <c r="E66" s="2">
        <f t="shared" si="25"/>
        <v>1.8652878308646856E-2</v>
      </c>
      <c r="F66" s="2">
        <f t="shared" si="24"/>
        <v>12.795301671456599</v>
      </c>
      <c r="G66" s="2">
        <f t="shared" si="24"/>
        <v>4.9430127517914171</v>
      </c>
      <c r="H66" s="2">
        <f t="shared" si="26"/>
        <v>27.441875277593748</v>
      </c>
      <c r="I66" s="2"/>
      <c r="J66" s="2"/>
      <c r="K66" s="74">
        <f t="shared" si="8"/>
        <v>0.59828059588391402</v>
      </c>
      <c r="L66" s="73"/>
      <c r="M66" s="3">
        <f t="shared" si="11"/>
        <v>0.74606873046582067</v>
      </c>
      <c r="N66" s="3">
        <f t="shared" si="12"/>
        <v>0.26722783017133478</v>
      </c>
      <c r="O66" s="3">
        <f t="shared" si="13"/>
        <v>0.27270473132485906</v>
      </c>
      <c r="U66" s="2">
        <f t="shared" si="28"/>
        <v>-1.4829038255374252</v>
      </c>
      <c r="V66" s="2">
        <f t="shared" si="29"/>
        <v>-5.190163389380988</v>
      </c>
    </row>
    <row r="67" spans="1:22" x14ac:dyDescent="0.35">
      <c r="B67">
        <f t="shared" si="7"/>
        <v>2037</v>
      </c>
      <c r="C67" s="70">
        <f>TIM_Output!AJ33/1000</f>
        <v>10.387431488462932</v>
      </c>
      <c r="D67" s="1">
        <f t="shared" si="27"/>
        <v>0.45697505969487856</v>
      </c>
      <c r="E67" s="2">
        <f t="shared" si="25"/>
        <v>1.8652878308646856E-2</v>
      </c>
      <c r="F67" s="2">
        <f t="shared" si="24"/>
        <v>12.795301671456599</v>
      </c>
      <c r="G67" s="2">
        <f t="shared" si="24"/>
        <v>4.9430127517914171</v>
      </c>
      <c r="H67" s="2">
        <f t="shared" si="26"/>
        <v>26.395691448583953</v>
      </c>
      <c r="I67" s="2"/>
      <c r="J67" s="2"/>
      <c r="K67" s="74">
        <f t="shared" si="8"/>
        <v>0.613595596777051</v>
      </c>
      <c r="L67" s="73"/>
      <c r="M67" s="3">
        <f t="shared" si="11"/>
        <v>0.76420667828969058</v>
      </c>
      <c r="N67" s="3">
        <f t="shared" si="12"/>
        <v>0.26722783017133478</v>
      </c>
      <c r="O67" s="3">
        <f t="shared" si="13"/>
        <v>0.27270473132485906</v>
      </c>
      <c r="U67" s="2">
        <f t="shared" si="28"/>
        <v>-1.7300544631269961</v>
      </c>
      <c r="V67" s="2">
        <f t="shared" si="29"/>
        <v>-6.9202178525079843</v>
      </c>
    </row>
    <row r="68" spans="1:22" x14ac:dyDescent="0.35">
      <c r="B68">
        <f t="shared" si="7"/>
        <v>2038</v>
      </c>
      <c r="C68" s="70">
        <f>TIM_Output!AJ34/1000</f>
        <v>9.5883982970427066</v>
      </c>
      <c r="D68" s="1">
        <f t="shared" si="27"/>
        <v>0.45697505969487856</v>
      </c>
      <c r="E68" s="2">
        <f t="shared" si="25"/>
        <v>1.8652878308646856E-2</v>
      </c>
      <c r="F68" s="2">
        <f t="shared" si="24"/>
        <v>12.795301671456599</v>
      </c>
      <c r="G68" s="2">
        <f t="shared" si="24"/>
        <v>4.9430127517914171</v>
      </c>
      <c r="H68" s="2">
        <f t="shared" si="26"/>
        <v>25.349507619574155</v>
      </c>
      <c r="I68" s="2"/>
      <c r="J68" s="2"/>
      <c r="K68" s="74">
        <f t="shared" si="8"/>
        <v>0.62891059767018787</v>
      </c>
      <c r="L68" s="73"/>
      <c r="M68" s="3">
        <f t="shared" si="11"/>
        <v>0.78234462611356048</v>
      </c>
      <c r="N68" s="3">
        <f t="shared" si="12"/>
        <v>0.26722783017133478</v>
      </c>
      <c r="O68" s="3">
        <f t="shared" si="13"/>
        <v>0.27270473132485906</v>
      </c>
      <c r="U68" s="2">
        <f t="shared" si="28"/>
        <v>-1.977205100716567</v>
      </c>
      <c r="V68" s="2">
        <f t="shared" si="29"/>
        <v>-8.8974229532245506</v>
      </c>
    </row>
    <row r="69" spans="1:22" x14ac:dyDescent="0.35">
      <c r="B69">
        <f t="shared" si="7"/>
        <v>2039</v>
      </c>
      <c r="C69" s="70">
        <f>TIM_Output!AJ35/1000</f>
        <v>8.7893651056224851</v>
      </c>
      <c r="D69" s="1">
        <f t="shared" si="27"/>
        <v>0.45697505969487856</v>
      </c>
      <c r="E69" s="2">
        <f t="shared" si="25"/>
        <v>1.8652878308646856E-2</v>
      </c>
      <c r="F69" s="2">
        <f t="shared" si="24"/>
        <v>12.795301671456599</v>
      </c>
      <c r="G69" s="2">
        <f t="shared" si="24"/>
        <v>4.9430127517914171</v>
      </c>
      <c r="H69" s="2">
        <f t="shared" si="26"/>
        <v>24.303323790564363</v>
      </c>
      <c r="I69" s="2"/>
      <c r="J69" s="2"/>
      <c r="K69" s="74">
        <f t="shared" si="8"/>
        <v>0.64422559856332473</v>
      </c>
      <c r="L69" s="73"/>
      <c r="M69" s="3">
        <f t="shared" si="11"/>
        <v>0.80048257393743039</v>
      </c>
      <c r="N69" s="3">
        <f t="shared" si="12"/>
        <v>0.26722783017133478</v>
      </c>
      <c r="O69" s="3">
        <f t="shared" si="13"/>
        <v>0.27270473132485906</v>
      </c>
      <c r="U69" s="2">
        <f t="shared" si="28"/>
        <v>-2.2243557383061376</v>
      </c>
      <c r="V69" s="2">
        <f t="shared" si="29"/>
        <v>-11.121778691530688</v>
      </c>
    </row>
    <row r="70" spans="1:22" x14ac:dyDescent="0.35">
      <c r="B70">
        <f t="shared" si="7"/>
        <v>2040</v>
      </c>
      <c r="C70" s="70">
        <f>TIM_Output!AJ36/1000</f>
        <v>7.990331914202244</v>
      </c>
      <c r="D70" s="1">
        <f t="shared" si="27"/>
        <v>0.45697505969487856</v>
      </c>
      <c r="E70" s="2">
        <f t="shared" si="25"/>
        <v>1.8652878308646856E-2</v>
      </c>
      <c r="F70" s="2">
        <f t="shared" si="24"/>
        <v>12.795301671456599</v>
      </c>
      <c r="G70" s="2">
        <f t="shared" si="24"/>
        <v>4.9430127517914171</v>
      </c>
      <c r="H70" s="2">
        <f t="shared" si="26"/>
        <v>23.257139961554554</v>
      </c>
      <c r="I70" s="2"/>
      <c r="J70" s="2"/>
      <c r="K70" s="74">
        <f t="shared" si="8"/>
        <v>0.65954059945646182</v>
      </c>
      <c r="L70" s="73"/>
      <c r="M70" s="3">
        <f t="shared" si="11"/>
        <v>0.81862052176130062</v>
      </c>
      <c r="N70" s="3">
        <f t="shared" si="12"/>
        <v>0.26722783017133478</v>
      </c>
      <c r="O70" s="3">
        <f t="shared" si="13"/>
        <v>0.27270473132485906</v>
      </c>
      <c r="P70" s="3">
        <f>M70</f>
        <v>0.81862052176130062</v>
      </c>
      <c r="Q70" s="3">
        <f t="shared" ref="Q70:R70" si="30">N70</f>
        <v>0.26722783017133478</v>
      </c>
      <c r="R70" s="3">
        <f t="shared" si="30"/>
        <v>0.27270473132485906</v>
      </c>
      <c r="S70" s="3">
        <f>K70</f>
        <v>0.65954059945646182</v>
      </c>
      <c r="T70" s="3"/>
      <c r="U70" s="2">
        <f t="shared" si="28"/>
        <v>-2.4715063758957085</v>
      </c>
      <c r="V70" s="2">
        <f t="shared" si="29"/>
        <v>-13.593285067426397</v>
      </c>
    </row>
    <row r="71" spans="1:22" x14ac:dyDescent="0.35">
      <c r="B71">
        <f t="shared" si="7"/>
        <v>2041</v>
      </c>
      <c r="C71" s="70">
        <f>TIM_Output!AJ37/1000</f>
        <v>7.1912987227820286</v>
      </c>
      <c r="D71" s="1">
        <f t="shared" si="27"/>
        <v>0.45697505969487856</v>
      </c>
      <c r="E71" s="2">
        <f t="shared" si="25"/>
        <v>1.8652878308646856E-2</v>
      </c>
      <c r="F71" s="2">
        <f t="shared" si="24"/>
        <v>12.795301671456599</v>
      </c>
      <c r="G71" s="2">
        <f t="shared" si="24"/>
        <v>4.9430127517914171</v>
      </c>
      <c r="H71" s="2">
        <f t="shared" si="26"/>
        <v>22.210956132544766</v>
      </c>
      <c r="I71" s="2"/>
      <c r="J71" s="2"/>
      <c r="K71" s="74">
        <f t="shared" si="8"/>
        <v>0.67485560034959868</v>
      </c>
      <c r="L71" s="73"/>
      <c r="M71" s="3">
        <f t="shared" si="11"/>
        <v>0.83675846958517042</v>
      </c>
      <c r="N71" s="3">
        <f t="shared" si="12"/>
        <v>0.26722783017133478</v>
      </c>
      <c r="O71" s="3">
        <f t="shared" si="13"/>
        <v>0.27270473132485906</v>
      </c>
      <c r="U71" s="2">
        <f t="shared" si="28"/>
        <v>-2.7186570134852794</v>
      </c>
      <c r="V71" s="2">
        <f t="shared" si="29"/>
        <v>-16.311942080911678</v>
      </c>
    </row>
    <row r="72" spans="1:22" x14ac:dyDescent="0.35">
      <c r="B72">
        <f t="shared" si="7"/>
        <v>2042</v>
      </c>
      <c r="C72" s="70">
        <f>TIM_Output!AJ38/1000</f>
        <v>6.3922655313618026</v>
      </c>
      <c r="D72" s="1">
        <f t="shared" si="27"/>
        <v>0.45697505969487856</v>
      </c>
      <c r="E72" s="2">
        <f t="shared" si="25"/>
        <v>1.8652878308646856E-2</v>
      </c>
      <c r="F72" s="2">
        <f t="shared" si="24"/>
        <v>12.795301671456599</v>
      </c>
      <c r="G72" s="2">
        <f t="shared" si="24"/>
        <v>4.9430127517914171</v>
      </c>
      <c r="H72" s="2">
        <f t="shared" si="26"/>
        <v>21.164772303534971</v>
      </c>
      <c r="I72" s="2"/>
      <c r="J72" s="2"/>
      <c r="K72" s="74">
        <f t="shared" si="8"/>
        <v>0.69017060124273555</v>
      </c>
      <c r="L72" s="73"/>
      <c r="M72" s="3">
        <f t="shared" si="11"/>
        <v>0.85489641740904032</v>
      </c>
      <c r="N72" s="3">
        <f t="shared" si="12"/>
        <v>0.26722783017133478</v>
      </c>
      <c r="O72" s="3">
        <f t="shared" si="13"/>
        <v>0.27270473132485906</v>
      </c>
      <c r="U72" s="2">
        <f t="shared" si="28"/>
        <v>-2.9658076510748503</v>
      </c>
      <c r="V72" s="2">
        <f t="shared" si="29"/>
        <v>-19.277749731986528</v>
      </c>
    </row>
    <row r="73" spans="1:22" x14ac:dyDescent="0.35">
      <c r="B73">
        <f t="shared" si="7"/>
        <v>2043</v>
      </c>
      <c r="C73" s="70">
        <f>TIM_Output!AJ39/1000</f>
        <v>5.593232339941574</v>
      </c>
      <c r="D73" s="1">
        <f t="shared" si="27"/>
        <v>0.45697505969487856</v>
      </c>
      <c r="E73" s="2">
        <f t="shared" si="25"/>
        <v>1.8652878308646856E-2</v>
      </c>
      <c r="F73" s="2">
        <f t="shared" si="24"/>
        <v>12.795301671456599</v>
      </c>
      <c r="G73" s="2">
        <f t="shared" si="24"/>
        <v>4.9430127517914171</v>
      </c>
      <c r="H73" s="2">
        <f t="shared" si="26"/>
        <v>20.118588474525172</v>
      </c>
      <c r="I73" s="2"/>
      <c r="J73" s="2"/>
      <c r="K73" s="74">
        <f t="shared" si="8"/>
        <v>0.70548560213587264</v>
      </c>
      <c r="L73" s="73"/>
      <c r="M73" s="3">
        <f t="shared" si="11"/>
        <v>0.87303436523291045</v>
      </c>
      <c r="N73" s="3">
        <f t="shared" si="12"/>
        <v>0.26722783017133478</v>
      </c>
      <c r="O73" s="3">
        <f t="shared" si="13"/>
        <v>0.27270473132485906</v>
      </c>
      <c r="U73" s="2">
        <f t="shared" si="28"/>
        <v>-3.2129582886644212</v>
      </c>
      <c r="V73" s="2">
        <f t="shared" si="29"/>
        <v>-22.490708020650949</v>
      </c>
    </row>
    <row r="74" spans="1:22" x14ac:dyDescent="0.35">
      <c r="B74">
        <f t="shared" si="7"/>
        <v>2044</v>
      </c>
      <c r="C74" s="70">
        <f>TIM_Output!AJ40/1000</f>
        <v>4.7941991485213613</v>
      </c>
      <c r="D74" s="1">
        <f t="shared" si="27"/>
        <v>0.45697505969487856</v>
      </c>
      <c r="E74" s="2">
        <f t="shared" si="25"/>
        <v>1.8652878308646856E-2</v>
      </c>
      <c r="F74" s="2">
        <f t="shared" si="24"/>
        <v>12.795301671456599</v>
      </c>
      <c r="G74" s="2">
        <f t="shared" si="24"/>
        <v>4.9430127517914171</v>
      </c>
      <c r="H74" s="2">
        <f t="shared" si="26"/>
        <v>19.072404645515388</v>
      </c>
      <c r="I74" s="2"/>
      <c r="J74" s="2"/>
      <c r="K74" s="74">
        <f t="shared" si="8"/>
        <v>0.72080060302900928</v>
      </c>
      <c r="L74" s="73"/>
      <c r="M74" s="3">
        <f t="shared" si="11"/>
        <v>0.89117231305678002</v>
      </c>
      <c r="N74" s="3">
        <f t="shared" si="12"/>
        <v>0.26722783017133478</v>
      </c>
      <c r="O74" s="3">
        <f t="shared" si="13"/>
        <v>0.27270473132485906</v>
      </c>
      <c r="U74" s="2">
        <f t="shared" si="28"/>
        <v>-3.4601089262539921</v>
      </c>
      <c r="V74" s="2">
        <f t="shared" si="29"/>
        <v>-25.95081694690494</v>
      </c>
    </row>
    <row r="75" spans="1:22" x14ac:dyDescent="0.35">
      <c r="B75">
        <f t="shared" si="7"/>
        <v>2045</v>
      </c>
      <c r="C75" s="70">
        <f>TIM_Output!AJ41/1000</f>
        <v>3.9951659571011287</v>
      </c>
      <c r="D75" s="1">
        <f t="shared" si="27"/>
        <v>0.45697505969487856</v>
      </c>
      <c r="E75" s="2">
        <f t="shared" si="25"/>
        <v>1.8652878308646856E-2</v>
      </c>
      <c r="F75" s="2">
        <f t="shared" si="24"/>
        <v>12.795301671456599</v>
      </c>
      <c r="G75" s="2">
        <f t="shared" si="24"/>
        <v>4.9430127517914171</v>
      </c>
      <c r="H75" s="2">
        <f t="shared" si="26"/>
        <v>18.026220816505582</v>
      </c>
      <c r="I75" s="2"/>
      <c r="J75" s="2"/>
      <c r="K75" s="74">
        <f t="shared" si="8"/>
        <v>0.73611560392214637</v>
      </c>
      <c r="L75" s="73"/>
      <c r="M75" s="3">
        <f t="shared" si="11"/>
        <v>0.90931026088065015</v>
      </c>
      <c r="N75" s="3">
        <f t="shared" si="12"/>
        <v>0.26722783017133478</v>
      </c>
      <c r="O75" s="3">
        <f t="shared" si="13"/>
        <v>0.27270473132485906</v>
      </c>
      <c r="U75" s="2">
        <f t="shared" si="28"/>
        <v>-3.707259563843563</v>
      </c>
      <c r="V75" s="2">
        <f t="shared" si="29"/>
        <v>-29.658076510748504</v>
      </c>
    </row>
    <row r="76" spans="1:22" x14ac:dyDescent="0.35">
      <c r="B76">
        <f t="shared" si="7"/>
        <v>2046</v>
      </c>
      <c r="C76" s="70">
        <f>TIM_Output!AJ42/1000</f>
        <v>3.1961327656808964</v>
      </c>
      <c r="D76" s="1">
        <f t="shared" si="27"/>
        <v>0.45697505969487856</v>
      </c>
      <c r="E76" s="2">
        <f t="shared" si="25"/>
        <v>1.8652878308646856E-2</v>
      </c>
      <c r="F76" s="2">
        <f t="shared" si="24"/>
        <v>12.795301671456599</v>
      </c>
      <c r="G76" s="2">
        <f t="shared" si="24"/>
        <v>4.9430127517914171</v>
      </c>
      <c r="H76" s="2">
        <f t="shared" si="26"/>
        <v>16.980036987495779</v>
      </c>
      <c r="I76" s="2"/>
      <c r="J76" s="2"/>
      <c r="K76" s="74">
        <f t="shared" si="8"/>
        <v>0.75143060481528345</v>
      </c>
      <c r="L76" s="73"/>
      <c r="M76" s="3">
        <f t="shared" si="11"/>
        <v>0.92744820870452027</v>
      </c>
      <c r="N76" s="3">
        <f t="shared" si="12"/>
        <v>0.26722783017133478</v>
      </c>
      <c r="O76" s="3">
        <f t="shared" si="13"/>
        <v>0.27270473132485906</v>
      </c>
      <c r="U76" s="2">
        <f t="shared" si="28"/>
        <v>-3.9544102014331339</v>
      </c>
      <c r="V76" s="2">
        <f t="shared" si="29"/>
        <v>-33.612486712181635</v>
      </c>
    </row>
    <row r="77" spans="1:22" x14ac:dyDescent="0.35">
      <c r="B77">
        <f t="shared" si="7"/>
        <v>2047</v>
      </c>
      <c r="C77" s="70">
        <f>TIM_Output!AJ43/1000</f>
        <v>2.3970995742606847</v>
      </c>
      <c r="D77" s="1">
        <f t="shared" si="27"/>
        <v>0.45697505969487856</v>
      </c>
      <c r="E77" s="2">
        <f t="shared" si="25"/>
        <v>1.8652878308646856E-2</v>
      </c>
      <c r="F77" s="2">
        <f t="shared" ref="F77:G90" si="31">D77*F$5</f>
        <v>12.795301671456599</v>
      </c>
      <c r="G77" s="2">
        <f t="shared" si="31"/>
        <v>4.9430127517914171</v>
      </c>
      <c r="H77" s="2">
        <f t="shared" si="26"/>
        <v>15.933853158485999</v>
      </c>
      <c r="I77" s="2"/>
      <c r="J77" s="2"/>
      <c r="K77" s="74">
        <f t="shared" si="8"/>
        <v>0.7667456057084201</v>
      </c>
      <c r="L77" s="73"/>
      <c r="M77" s="3">
        <f t="shared" si="11"/>
        <v>0.94558615652838995</v>
      </c>
      <c r="N77" s="3">
        <f t="shared" si="12"/>
        <v>0.26722783017133478</v>
      </c>
      <c r="O77" s="3">
        <f t="shared" si="13"/>
        <v>0.27270473132485906</v>
      </c>
      <c r="U77" s="2">
        <f t="shared" si="28"/>
        <v>-4.2015608390227044</v>
      </c>
      <c r="V77" s="2">
        <f t="shared" si="29"/>
        <v>-37.814047551204339</v>
      </c>
    </row>
    <row r="78" spans="1:22" x14ac:dyDescent="0.35">
      <c r="B78">
        <f t="shared" si="7"/>
        <v>2048</v>
      </c>
      <c r="C78" s="70">
        <f>TIM_Output!AJ44/1000</f>
        <v>1.598066382840446</v>
      </c>
      <c r="D78" s="1">
        <f t="shared" si="27"/>
        <v>0.45697505969487856</v>
      </c>
      <c r="E78" s="2">
        <f t="shared" si="25"/>
        <v>1.8652878308646856E-2</v>
      </c>
      <c r="F78" s="2">
        <f t="shared" si="31"/>
        <v>12.795301671456599</v>
      </c>
      <c r="G78" s="2">
        <f t="shared" si="31"/>
        <v>4.9430127517914171</v>
      </c>
      <c r="H78" s="2">
        <f t="shared" si="26"/>
        <v>14.887669329476189</v>
      </c>
      <c r="I78" s="2"/>
      <c r="J78" s="2"/>
      <c r="K78" s="74">
        <f t="shared" si="8"/>
        <v>0.78206060660155718</v>
      </c>
      <c r="L78" s="73"/>
      <c r="M78" s="3">
        <f t="shared" si="11"/>
        <v>0.96372410435226019</v>
      </c>
      <c r="N78" s="3">
        <f t="shared" si="12"/>
        <v>0.26722783017133478</v>
      </c>
      <c r="O78" s="3">
        <f t="shared" si="13"/>
        <v>0.27270473132485906</v>
      </c>
      <c r="U78" s="2">
        <f t="shared" si="28"/>
        <v>-4.4487114766122753</v>
      </c>
      <c r="V78" s="2">
        <f t="shared" si="29"/>
        <v>-42.262759027816614</v>
      </c>
    </row>
    <row r="79" spans="1:22" x14ac:dyDescent="0.35">
      <c r="A79">
        <f>-A80/20</f>
        <v>-0.24715063758957084</v>
      </c>
      <c r="B79">
        <f t="shared" si="7"/>
        <v>2049</v>
      </c>
      <c r="C79" s="70">
        <f>TIM_Output!AJ45/1000</f>
        <v>0.79903319142022455</v>
      </c>
      <c r="D79" s="1">
        <f t="shared" si="27"/>
        <v>0.45697505969487856</v>
      </c>
      <c r="E79" s="2">
        <f t="shared" si="25"/>
        <v>1.8652878308646856E-2</v>
      </c>
      <c r="F79" s="2">
        <f t="shared" si="31"/>
        <v>12.795301671456599</v>
      </c>
      <c r="G79" s="2">
        <f t="shared" si="31"/>
        <v>4.9430127517914171</v>
      </c>
      <c r="H79" s="2">
        <f t="shared" si="26"/>
        <v>13.841485500466396</v>
      </c>
      <c r="I79" s="78"/>
      <c r="J79" s="2"/>
      <c r="K79" s="74">
        <f t="shared" si="8"/>
        <v>0.79737560749469416</v>
      </c>
      <c r="L79" s="73"/>
      <c r="M79" s="3">
        <f t="shared" si="11"/>
        <v>0.9818620521761301</v>
      </c>
      <c r="N79" s="3">
        <f t="shared" si="12"/>
        <v>0.26722783017133478</v>
      </c>
      <c r="O79" s="3">
        <f t="shared" si="13"/>
        <v>0.27270473132485906</v>
      </c>
      <c r="U79" s="2">
        <f t="shared" si="28"/>
        <v>-4.6958621142018462</v>
      </c>
      <c r="V79" s="2">
        <f t="shared" si="29"/>
        <v>-46.958621142018458</v>
      </c>
    </row>
    <row r="80" spans="1:22" x14ac:dyDescent="0.35">
      <c r="A80" s="2">
        <f>A82+A83</f>
        <v>4.9430127517914171</v>
      </c>
      <c r="B80">
        <f t="shared" si="7"/>
        <v>2050</v>
      </c>
      <c r="C80" s="70">
        <f>TIM_Output!AJ46/1000</f>
        <v>-9.6488780250976305E-15</v>
      </c>
      <c r="D80" s="1">
        <f t="shared" si="27"/>
        <v>0.45697505969487856</v>
      </c>
      <c r="E80" s="2">
        <f t="shared" si="25"/>
        <v>1.8652878308646856E-2</v>
      </c>
      <c r="F80" s="2">
        <f t="shared" si="31"/>
        <v>12.795301671456599</v>
      </c>
      <c r="G80" s="2">
        <f t="shared" si="31"/>
        <v>4.9430127517914171</v>
      </c>
      <c r="H80" s="2">
        <f t="shared" si="26"/>
        <v>12.795301671456588</v>
      </c>
      <c r="I80" s="78"/>
      <c r="J80" s="2"/>
      <c r="K80" s="74">
        <f t="shared" si="8"/>
        <v>0.81269060838783125</v>
      </c>
      <c r="L80" s="73"/>
      <c r="M80" s="3">
        <f t="shared" si="11"/>
        <v>1.0000000000000002</v>
      </c>
      <c r="N80" s="3">
        <f t="shared" si="12"/>
        <v>0.26722783017133478</v>
      </c>
      <c r="O80" s="3">
        <f t="shared" si="13"/>
        <v>0.27270473132485906</v>
      </c>
      <c r="P80" s="3">
        <f>M80</f>
        <v>1.0000000000000002</v>
      </c>
      <c r="Q80" s="3">
        <f t="shared" ref="Q80:R80" si="32">N80</f>
        <v>0.26722783017133478</v>
      </c>
      <c r="R80" s="3">
        <f t="shared" si="32"/>
        <v>0.27270473132485906</v>
      </c>
      <c r="S80" s="3">
        <f>K80</f>
        <v>0.81269060838783125</v>
      </c>
      <c r="T80" s="3"/>
      <c r="U80" s="2">
        <f t="shared" si="28"/>
        <v>-4.9430127517914171</v>
      </c>
      <c r="V80" s="2">
        <f t="shared" si="29"/>
        <v>-51.901633893809873</v>
      </c>
    </row>
    <row r="81" spans="1:22" x14ac:dyDescent="0.35">
      <c r="B81">
        <f t="shared" si="7"/>
        <v>2051</v>
      </c>
      <c r="C81" s="2">
        <v>0</v>
      </c>
      <c r="D81" s="1">
        <f t="shared" si="27"/>
        <v>0.45697505969487856</v>
      </c>
      <c r="E81" s="2">
        <f t="shared" si="25"/>
        <v>1.8652878308646856E-2</v>
      </c>
      <c r="F81" s="2">
        <f t="shared" si="31"/>
        <v>12.795301671456599</v>
      </c>
      <c r="G81" s="2">
        <f>G80</f>
        <v>4.9430127517914171</v>
      </c>
      <c r="H81" s="68">
        <f t="shared" si="26"/>
        <v>12.795301671456599</v>
      </c>
      <c r="I81" s="78"/>
      <c r="J81" s="2"/>
      <c r="K81" s="74">
        <f t="shared" si="8"/>
        <v>0.81269060838783114</v>
      </c>
      <c r="L81" s="73"/>
      <c r="M81" s="3">
        <f t="shared" si="11"/>
        <v>1</v>
      </c>
      <c r="N81" s="3">
        <f t="shared" ref="N81:N90" si="33">1-D81/D$48</f>
        <v>0.26722783017133478</v>
      </c>
      <c r="O81" s="3">
        <f t="shared" ref="O81:O90" si="34">1-E81/E$48</f>
        <v>0.27270473132485906</v>
      </c>
      <c r="U81" s="2">
        <f>U80</f>
        <v>-4.9430127517914171</v>
      </c>
      <c r="V81" s="2">
        <f t="shared" si="29"/>
        <v>-56.844646645601287</v>
      </c>
    </row>
    <row r="82" spans="1:22" x14ac:dyDescent="0.35">
      <c r="A82">
        <f>IF(InputOutput!B6="Yes",F79,0)</f>
        <v>0</v>
      </c>
      <c r="B82">
        <f t="shared" si="7"/>
        <v>2052</v>
      </c>
      <c r="C82" s="2">
        <f>C81</f>
        <v>0</v>
      </c>
      <c r="D82" s="1">
        <f t="shared" si="27"/>
        <v>0.45697505969487856</v>
      </c>
      <c r="E82" s="2">
        <f t="shared" si="25"/>
        <v>1.8652878308646856E-2</v>
      </c>
      <c r="F82" s="2">
        <f t="shared" si="31"/>
        <v>12.795301671456599</v>
      </c>
      <c r="G82" s="2">
        <f t="shared" ref="G82:G90" si="35">G81</f>
        <v>4.9430127517914171</v>
      </c>
      <c r="H82" s="68">
        <f t="shared" si="26"/>
        <v>12.795301671456599</v>
      </c>
      <c r="I82" s="78"/>
      <c r="J82" s="2"/>
      <c r="K82" s="74">
        <f t="shared" si="8"/>
        <v>0.81269060838783114</v>
      </c>
      <c r="L82" s="73"/>
      <c r="M82" s="3">
        <f t="shared" si="11"/>
        <v>1</v>
      </c>
      <c r="N82" s="3">
        <f t="shared" si="33"/>
        <v>0.26722783017133478</v>
      </c>
      <c r="O82" s="3">
        <f t="shared" si="34"/>
        <v>0.27270473132485906</v>
      </c>
      <c r="U82" s="2">
        <f t="shared" ref="U82:U93" si="36">U81</f>
        <v>-4.9430127517914171</v>
      </c>
      <c r="V82" s="2">
        <f t="shared" si="29"/>
        <v>-61.787659397392702</v>
      </c>
    </row>
    <row r="83" spans="1:22" x14ac:dyDescent="0.35">
      <c r="A83">
        <f>IF(InputOutput!B7="Yes",G80,0)</f>
        <v>4.9430127517914171</v>
      </c>
      <c r="B83">
        <f t="shared" si="7"/>
        <v>2053</v>
      </c>
      <c r="C83" s="2">
        <f t="shared" ref="C83:C90" si="37">C82</f>
        <v>0</v>
      </c>
      <c r="D83" s="1">
        <f t="shared" si="27"/>
        <v>0.45697505969487856</v>
      </c>
      <c r="E83" s="2">
        <f t="shared" si="25"/>
        <v>1.8652878308646856E-2</v>
      </c>
      <c r="F83" s="2">
        <f t="shared" si="31"/>
        <v>12.795301671456599</v>
      </c>
      <c r="G83" s="2">
        <f t="shared" si="35"/>
        <v>4.9430127517914171</v>
      </c>
      <c r="H83" s="68">
        <f t="shared" si="26"/>
        <v>12.795301671456599</v>
      </c>
      <c r="I83" s="78"/>
      <c r="J83" s="2"/>
      <c r="K83" s="74">
        <f t="shared" si="8"/>
        <v>0.81269060838783114</v>
      </c>
      <c r="L83" s="73"/>
      <c r="M83" s="3">
        <f t="shared" si="11"/>
        <v>1</v>
      </c>
      <c r="N83" s="3">
        <f t="shared" si="33"/>
        <v>0.26722783017133478</v>
      </c>
      <c r="O83" s="3">
        <f t="shared" si="34"/>
        <v>0.27270473132485906</v>
      </c>
      <c r="U83" s="2">
        <f t="shared" si="36"/>
        <v>-4.9430127517914171</v>
      </c>
      <c r="V83" s="2">
        <f t="shared" si="29"/>
        <v>-66.730672149184116</v>
      </c>
    </row>
    <row r="84" spans="1:22" x14ac:dyDescent="0.35">
      <c r="B84">
        <f t="shared" si="7"/>
        <v>2054</v>
      </c>
      <c r="C84" s="2">
        <f t="shared" si="37"/>
        <v>0</v>
      </c>
      <c r="D84" s="1">
        <f t="shared" si="27"/>
        <v>0.45697505969487856</v>
      </c>
      <c r="E84" s="2">
        <f t="shared" si="25"/>
        <v>1.8652878308646856E-2</v>
      </c>
      <c r="F84" s="2">
        <f t="shared" si="31"/>
        <v>12.795301671456599</v>
      </c>
      <c r="G84" s="2">
        <f t="shared" si="35"/>
        <v>4.9430127517914171</v>
      </c>
      <c r="H84" s="68">
        <f t="shared" si="26"/>
        <v>12.795301671456599</v>
      </c>
      <c r="I84" s="78"/>
      <c r="J84" s="2"/>
      <c r="K84" s="74">
        <f t="shared" si="8"/>
        <v>0.81269060838783114</v>
      </c>
      <c r="L84" s="73"/>
      <c r="M84" s="3">
        <f t="shared" si="11"/>
        <v>1</v>
      </c>
      <c r="N84" s="3">
        <f t="shared" si="33"/>
        <v>0.26722783017133478</v>
      </c>
      <c r="O84" s="3">
        <f t="shared" si="34"/>
        <v>0.27270473132485906</v>
      </c>
      <c r="U84" s="2">
        <f t="shared" si="36"/>
        <v>-4.9430127517914171</v>
      </c>
      <c r="V84" s="2">
        <f t="shared" si="29"/>
        <v>-71.67368490097553</v>
      </c>
    </row>
    <row r="85" spans="1:22" x14ac:dyDescent="0.35">
      <c r="B85">
        <f t="shared" si="7"/>
        <v>2055</v>
      </c>
      <c r="C85" s="2">
        <f t="shared" si="37"/>
        <v>0</v>
      </c>
      <c r="D85" s="1">
        <f t="shared" si="27"/>
        <v>0.45697505969487856</v>
      </c>
      <c r="E85" s="2">
        <f t="shared" si="25"/>
        <v>1.8652878308646856E-2</v>
      </c>
      <c r="F85" s="2">
        <f t="shared" si="31"/>
        <v>12.795301671456599</v>
      </c>
      <c r="G85" s="2">
        <f t="shared" si="35"/>
        <v>4.9430127517914171</v>
      </c>
      <c r="H85" s="68">
        <f t="shared" si="26"/>
        <v>12.795301671456599</v>
      </c>
      <c r="I85" s="78"/>
      <c r="J85" s="2"/>
      <c r="K85" s="74">
        <f t="shared" si="8"/>
        <v>0.81269060838783114</v>
      </c>
      <c r="L85" s="73"/>
      <c r="M85" s="3">
        <f t="shared" si="11"/>
        <v>1</v>
      </c>
      <c r="N85" s="3">
        <f t="shared" si="33"/>
        <v>0.26722783017133478</v>
      </c>
      <c r="O85" s="3">
        <f t="shared" si="34"/>
        <v>0.27270473132485906</v>
      </c>
      <c r="U85" s="2">
        <f t="shared" si="36"/>
        <v>-4.9430127517914171</v>
      </c>
      <c r="V85" s="2">
        <f t="shared" si="29"/>
        <v>-76.616697652766945</v>
      </c>
    </row>
    <row r="86" spans="1:22" x14ac:dyDescent="0.35">
      <c r="B86">
        <f t="shared" ref="B86:B90" si="38">B85+1</f>
        <v>2056</v>
      </c>
      <c r="C86" s="2">
        <f t="shared" si="37"/>
        <v>0</v>
      </c>
      <c r="D86" s="1">
        <f t="shared" si="27"/>
        <v>0.45697505969487856</v>
      </c>
      <c r="E86" s="2">
        <f t="shared" si="25"/>
        <v>1.8652878308646856E-2</v>
      </c>
      <c r="F86" s="2">
        <f t="shared" si="31"/>
        <v>12.795301671456599</v>
      </c>
      <c r="G86" s="2">
        <f t="shared" si="35"/>
        <v>4.9430127517914171</v>
      </c>
      <c r="H86" s="68">
        <f t="shared" si="26"/>
        <v>12.795301671456599</v>
      </c>
      <c r="I86" s="78"/>
      <c r="J86" s="2"/>
      <c r="K86" s="74">
        <f t="shared" si="8"/>
        <v>0.81269060838783114</v>
      </c>
      <c r="L86" s="73"/>
      <c r="M86" s="3">
        <f t="shared" si="11"/>
        <v>1</v>
      </c>
      <c r="N86" s="3">
        <f t="shared" si="33"/>
        <v>0.26722783017133478</v>
      </c>
      <c r="O86" s="3">
        <f t="shared" si="34"/>
        <v>0.27270473132485906</v>
      </c>
      <c r="U86" s="2">
        <f t="shared" si="36"/>
        <v>-4.9430127517914171</v>
      </c>
      <c r="V86" s="2">
        <f t="shared" si="29"/>
        <v>-81.559710404558359</v>
      </c>
    </row>
    <row r="87" spans="1:22" x14ac:dyDescent="0.35">
      <c r="B87">
        <f t="shared" si="38"/>
        <v>2057</v>
      </c>
      <c r="C87" s="2">
        <f t="shared" si="37"/>
        <v>0</v>
      </c>
      <c r="D87" s="1">
        <f t="shared" si="27"/>
        <v>0.45697505969487856</v>
      </c>
      <c r="E87" s="2">
        <f t="shared" si="25"/>
        <v>1.8652878308646856E-2</v>
      </c>
      <c r="F87" s="2">
        <f t="shared" si="31"/>
        <v>12.795301671456599</v>
      </c>
      <c r="G87" s="2">
        <f t="shared" si="35"/>
        <v>4.9430127517914171</v>
      </c>
      <c r="H87" s="68">
        <f t="shared" si="26"/>
        <v>12.795301671456599</v>
      </c>
      <c r="I87" s="78"/>
      <c r="J87" s="2"/>
      <c r="K87" s="74">
        <f t="shared" si="8"/>
        <v>0.81269060838783114</v>
      </c>
      <c r="L87" s="73"/>
      <c r="M87" s="3">
        <f t="shared" si="11"/>
        <v>1</v>
      </c>
      <c r="N87" s="3">
        <f t="shared" si="33"/>
        <v>0.26722783017133478</v>
      </c>
      <c r="O87" s="3">
        <f t="shared" si="34"/>
        <v>0.27270473132485906</v>
      </c>
      <c r="U87" s="2">
        <f t="shared" si="36"/>
        <v>-4.9430127517914171</v>
      </c>
      <c r="V87" s="2">
        <f t="shared" si="29"/>
        <v>-86.502723156349774</v>
      </c>
    </row>
    <row r="88" spans="1:22" x14ac:dyDescent="0.35">
      <c r="B88">
        <f t="shared" si="38"/>
        <v>2058</v>
      </c>
      <c r="C88" s="2">
        <f t="shared" si="37"/>
        <v>0</v>
      </c>
      <c r="D88" s="1">
        <f t="shared" si="27"/>
        <v>0.45697505969487856</v>
      </c>
      <c r="E88" s="2">
        <f t="shared" si="25"/>
        <v>1.8652878308646856E-2</v>
      </c>
      <c r="F88" s="2">
        <f t="shared" si="31"/>
        <v>12.795301671456599</v>
      </c>
      <c r="G88" s="2">
        <f t="shared" si="35"/>
        <v>4.9430127517914171</v>
      </c>
      <c r="H88" s="68">
        <f t="shared" si="26"/>
        <v>12.795301671456599</v>
      </c>
      <c r="I88" s="78"/>
      <c r="J88" s="2"/>
      <c r="K88" s="74">
        <f t="shared" si="8"/>
        <v>0.81269060838783114</v>
      </c>
      <c r="L88" s="73"/>
      <c r="M88" s="3">
        <f t="shared" si="11"/>
        <v>1</v>
      </c>
      <c r="N88" s="3">
        <f t="shared" si="33"/>
        <v>0.26722783017133478</v>
      </c>
      <c r="O88" s="3">
        <f t="shared" si="34"/>
        <v>0.27270473132485906</v>
      </c>
      <c r="U88" s="2">
        <f t="shared" si="36"/>
        <v>-4.9430127517914171</v>
      </c>
      <c r="V88" s="2">
        <f t="shared" si="29"/>
        <v>-91.445735908141188</v>
      </c>
    </row>
    <row r="89" spans="1:22" x14ac:dyDescent="0.35">
      <c r="B89">
        <f t="shared" si="38"/>
        <v>2059</v>
      </c>
      <c r="C89" s="2">
        <f t="shared" si="37"/>
        <v>0</v>
      </c>
      <c r="D89" s="1">
        <f t="shared" si="27"/>
        <v>0.45697505969487856</v>
      </c>
      <c r="E89" s="2">
        <f t="shared" si="25"/>
        <v>1.8652878308646856E-2</v>
      </c>
      <c r="F89" s="2">
        <f t="shared" si="31"/>
        <v>12.795301671456599</v>
      </c>
      <c r="G89" s="2">
        <f t="shared" si="35"/>
        <v>4.9430127517914171</v>
      </c>
      <c r="H89" s="68">
        <f t="shared" si="26"/>
        <v>12.795301671456599</v>
      </c>
      <c r="I89" s="78"/>
      <c r="J89" s="2"/>
      <c r="K89" s="74">
        <f t="shared" si="8"/>
        <v>0.81269060838783114</v>
      </c>
      <c r="L89" s="73"/>
      <c r="M89" s="3">
        <f t="shared" si="11"/>
        <v>1</v>
      </c>
      <c r="N89" s="3">
        <f t="shared" si="33"/>
        <v>0.26722783017133478</v>
      </c>
      <c r="O89" s="3">
        <f t="shared" si="34"/>
        <v>0.27270473132485906</v>
      </c>
      <c r="U89" s="2">
        <f t="shared" si="36"/>
        <v>-4.9430127517914171</v>
      </c>
      <c r="V89" s="2">
        <f t="shared" si="29"/>
        <v>-96.388748659932602</v>
      </c>
    </row>
    <row r="90" spans="1:22" x14ac:dyDescent="0.35">
      <c r="B90">
        <f t="shared" si="38"/>
        <v>2060</v>
      </c>
      <c r="C90" s="2">
        <f t="shared" si="37"/>
        <v>0</v>
      </c>
      <c r="D90" s="1">
        <f t="shared" si="27"/>
        <v>0.45697505969487856</v>
      </c>
      <c r="E90" s="2">
        <f t="shared" si="25"/>
        <v>1.8652878308646856E-2</v>
      </c>
      <c r="F90" s="2">
        <f t="shared" si="31"/>
        <v>12.795301671456599</v>
      </c>
      <c r="G90" s="2">
        <f t="shared" si="35"/>
        <v>4.9430127517914171</v>
      </c>
      <c r="H90" s="68">
        <f t="shared" si="26"/>
        <v>12.795301671456599</v>
      </c>
      <c r="I90" s="78"/>
      <c r="J90" s="2"/>
      <c r="K90" s="74">
        <f t="shared" si="8"/>
        <v>0.81269060838783114</v>
      </c>
      <c r="L90" s="73"/>
      <c r="M90" s="3">
        <f t="shared" si="11"/>
        <v>1</v>
      </c>
      <c r="N90" s="3">
        <f t="shared" si="33"/>
        <v>0.26722783017133478</v>
      </c>
      <c r="O90" s="3">
        <f t="shared" si="34"/>
        <v>0.27270473132485906</v>
      </c>
      <c r="U90" s="2">
        <f t="shared" si="36"/>
        <v>-4.9430127517914171</v>
      </c>
      <c r="V90" s="2">
        <f t="shared" si="29"/>
        <v>-101.33176141172402</v>
      </c>
    </row>
    <row r="91" spans="1:22" x14ac:dyDescent="0.35">
      <c r="B91" s="134"/>
      <c r="C91" s="135"/>
      <c r="D91" s="138"/>
      <c r="E91" s="135"/>
      <c r="F91" s="135"/>
      <c r="G91" s="135"/>
      <c r="H91" s="135"/>
      <c r="I91" s="139"/>
      <c r="J91" s="135"/>
      <c r="K91" s="140"/>
      <c r="L91" s="140"/>
      <c r="M91" s="140"/>
      <c r="N91" s="140"/>
      <c r="O91" s="140"/>
      <c r="U91" s="2">
        <f t="shared" si="36"/>
        <v>-4.9430127517914171</v>
      </c>
      <c r="V91" s="2">
        <f t="shared" si="29"/>
        <v>-106.27477416351543</v>
      </c>
    </row>
    <row r="92" spans="1:22" x14ac:dyDescent="0.35">
      <c r="B92" s="134"/>
      <c r="C92" s="135"/>
      <c r="D92" s="138"/>
      <c r="E92" s="135"/>
      <c r="F92" s="135"/>
      <c r="G92" s="135"/>
      <c r="H92" s="135"/>
      <c r="I92" s="139"/>
      <c r="J92" s="135"/>
      <c r="K92" s="140"/>
      <c r="L92" s="140"/>
      <c r="M92" s="140"/>
      <c r="N92" s="140"/>
      <c r="O92" s="140"/>
      <c r="U92" s="2">
        <f t="shared" si="36"/>
        <v>-4.9430127517914171</v>
      </c>
      <c r="V92" s="2">
        <f t="shared" si="29"/>
        <v>-111.21778691530685</v>
      </c>
    </row>
    <row r="93" spans="1:22" x14ac:dyDescent="0.35">
      <c r="B93" s="134"/>
      <c r="C93" s="135"/>
      <c r="D93" s="138"/>
      <c r="E93" s="135"/>
      <c r="F93" s="135"/>
      <c r="G93" s="135"/>
      <c r="H93" s="135"/>
      <c r="I93" s="139"/>
      <c r="J93" s="135"/>
      <c r="K93" s="140"/>
      <c r="L93" s="140"/>
      <c r="M93" s="140"/>
      <c r="N93" s="140"/>
      <c r="O93" s="140"/>
      <c r="U93" s="2">
        <f t="shared" si="36"/>
        <v>-4.9430127517914171</v>
      </c>
      <c r="V93" s="2">
        <f t="shared" si="29"/>
        <v>-116.16079966709826</v>
      </c>
    </row>
    <row r="94" spans="1:22" x14ac:dyDescent="0.35">
      <c r="B94" s="134"/>
      <c r="C94" s="135"/>
      <c r="D94" s="138"/>
      <c r="E94" s="135"/>
      <c r="F94" s="135"/>
      <c r="G94" s="135"/>
      <c r="H94" s="135"/>
      <c r="I94" s="139"/>
      <c r="J94" s="135"/>
      <c r="K94" s="140"/>
      <c r="L94" s="140"/>
      <c r="M94" s="140"/>
      <c r="N94" s="140"/>
      <c r="O94" s="140"/>
    </row>
    <row r="95" spans="1:22" x14ac:dyDescent="0.35">
      <c r="B95" s="134"/>
      <c r="C95" s="135"/>
      <c r="D95" s="138"/>
      <c r="E95" s="135"/>
      <c r="F95" s="135"/>
      <c r="G95" s="135"/>
      <c r="H95" s="135"/>
      <c r="I95" s="139"/>
      <c r="J95" s="135"/>
      <c r="K95" s="140"/>
      <c r="L95" s="140"/>
      <c r="M95" s="140"/>
      <c r="N95" s="140"/>
      <c r="O95" s="140"/>
    </row>
    <row r="96" spans="1:22" x14ac:dyDescent="0.35">
      <c r="B96" s="134"/>
      <c r="C96" s="135"/>
      <c r="D96" s="138"/>
      <c r="E96" s="135"/>
      <c r="F96" s="135"/>
      <c r="G96" s="135"/>
      <c r="H96" s="135"/>
      <c r="I96" s="139"/>
      <c r="J96" s="135"/>
      <c r="K96" s="140"/>
      <c r="L96" s="140"/>
      <c r="M96" s="140"/>
      <c r="N96" s="140"/>
      <c r="O96" s="140"/>
    </row>
    <row r="97" spans="2:15" x14ac:dyDescent="0.35">
      <c r="B97" s="134"/>
      <c r="C97" s="135"/>
      <c r="D97" s="138"/>
      <c r="E97" s="135"/>
      <c r="F97" s="135"/>
      <c r="G97" s="135"/>
      <c r="H97" s="135"/>
      <c r="I97" s="139"/>
      <c r="J97" s="135"/>
      <c r="K97" s="140"/>
      <c r="L97" s="140"/>
      <c r="M97" s="140"/>
      <c r="N97" s="140"/>
      <c r="O97" s="140"/>
    </row>
    <row r="98" spans="2:15" x14ac:dyDescent="0.35">
      <c r="B98" s="134"/>
      <c r="C98" s="135"/>
      <c r="D98" s="138"/>
      <c r="E98" s="135"/>
      <c r="F98" s="135"/>
      <c r="G98" s="135"/>
      <c r="H98" s="135"/>
      <c r="I98" s="139"/>
      <c r="J98" s="135"/>
      <c r="K98" s="140"/>
      <c r="L98" s="140"/>
      <c r="M98" s="140"/>
      <c r="N98" s="140"/>
      <c r="O98" s="140"/>
    </row>
    <row r="99" spans="2:15" x14ac:dyDescent="0.35">
      <c r="B99" s="134"/>
      <c r="C99" s="135"/>
      <c r="D99" s="138"/>
      <c r="E99" s="135"/>
      <c r="F99" s="135"/>
      <c r="G99" s="135"/>
      <c r="H99" s="135"/>
      <c r="I99" s="139"/>
      <c r="J99" s="135"/>
      <c r="K99" s="140"/>
      <c r="L99" s="140"/>
      <c r="M99" s="140"/>
      <c r="N99" s="140"/>
      <c r="O99" s="140"/>
    </row>
    <row r="100" spans="2:15" x14ac:dyDescent="0.35">
      <c r="B100" s="134"/>
      <c r="C100" s="135"/>
      <c r="D100" s="138"/>
      <c r="E100" s="135"/>
      <c r="F100" s="135"/>
      <c r="G100" s="135"/>
      <c r="H100" s="135"/>
      <c r="I100" s="139"/>
      <c r="J100" s="135"/>
      <c r="K100" s="140"/>
      <c r="L100" s="140"/>
      <c r="M100" s="140"/>
      <c r="N100" s="140"/>
      <c r="O100" s="140"/>
    </row>
    <row r="101" spans="2:15" x14ac:dyDescent="0.35">
      <c r="B101" s="134"/>
      <c r="C101" s="135"/>
      <c r="D101" s="138"/>
      <c r="E101" s="135"/>
      <c r="F101" s="135"/>
      <c r="G101" s="135"/>
      <c r="H101" s="135"/>
      <c r="I101" s="139"/>
      <c r="J101" s="135"/>
      <c r="K101" s="140"/>
      <c r="L101" s="140"/>
      <c r="M101" s="140"/>
      <c r="N101" s="140"/>
      <c r="O101" s="140"/>
    </row>
    <row r="102" spans="2:15" x14ac:dyDescent="0.35">
      <c r="B102" s="134"/>
      <c r="C102" s="135"/>
      <c r="D102" s="138"/>
      <c r="E102" s="135"/>
      <c r="F102" s="135"/>
      <c r="G102" s="135"/>
      <c r="H102" s="135"/>
      <c r="I102" s="139"/>
      <c r="J102" s="135"/>
      <c r="K102" s="140"/>
      <c r="L102" s="140"/>
      <c r="M102" s="140"/>
      <c r="N102" s="140"/>
      <c r="O102" s="140"/>
    </row>
    <row r="103" spans="2:15" x14ac:dyDescent="0.35">
      <c r="B103" s="134"/>
      <c r="C103" s="135"/>
      <c r="D103" s="138"/>
      <c r="E103" s="135"/>
      <c r="F103" s="135"/>
      <c r="G103" s="135"/>
      <c r="H103" s="135"/>
      <c r="I103" s="139"/>
      <c r="J103" s="135"/>
      <c r="K103" s="140"/>
      <c r="L103" s="140"/>
      <c r="M103" s="140"/>
      <c r="N103" s="140"/>
      <c r="O103" s="140"/>
    </row>
    <row r="104" spans="2:15" x14ac:dyDescent="0.35">
      <c r="B104" s="134"/>
      <c r="C104" s="135"/>
      <c r="D104" s="138"/>
      <c r="E104" s="135"/>
      <c r="F104" s="135"/>
      <c r="G104" s="135"/>
      <c r="H104" s="135"/>
      <c r="I104" s="139"/>
      <c r="J104" s="135"/>
      <c r="K104" s="140"/>
      <c r="L104" s="140"/>
      <c r="M104" s="140"/>
      <c r="N104" s="140"/>
      <c r="O104" s="140"/>
    </row>
    <row r="105" spans="2:15" x14ac:dyDescent="0.35">
      <c r="B105" s="134"/>
      <c r="C105" s="135"/>
      <c r="D105" s="138"/>
      <c r="E105" s="135"/>
      <c r="F105" s="135"/>
      <c r="G105" s="135"/>
      <c r="H105" s="135"/>
      <c r="I105" s="139"/>
      <c r="J105" s="135"/>
      <c r="K105" s="140"/>
      <c r="L105" s="140"/>
      <c r="M105" s="140"/>
      <c r="N105" s="140"/>
      <c r="O105" s="140"/>
    </row>
    <row r="106" spans="2:15" x14ac:dyDescent="0.35">
      <c r="B106" s="134"/>
      <c r="C106" s="135"/>
      <c r="D106" s="138"/>
      <c r="E106" s="135"/>
      <c r="F106" s="135"/>
      <c r="G106" s="135"/>
      <c r="H106" s="135"/>
      <c r="I106" s="139"/>
      <c r="J106" s="135"/>
      <c r="K106" s="140"/>
      <c r="L106" s="140"/>
      <c r="M106" s="140"/>
      <c r="N106" s="140"/>
      <c r="O106" s="140"/>
    </row>
    <row r="107" spans="2:15" x14ac:dyDescent="0.35">
      <c r="B107" s="134"/>
      <c r="C107" s="135"/>
      <c r="D107" s="138"/>
      <c r="E107" s="135"/>
      <c r="F107" s="135"/>
      <c r="G107" s="135"/>
      <c r="H107" s="135"/>
      <c r="I107" s="139"/>
      <c r="J107" s="135"/>
      <c r="K107" s="140"/>
      <c r="L107" s="140"/>
      <c r="M107" s="140"/>
      <c r="N107" s="140"/>
      <c r="O107" s="140"/>
    </row>
    <row r="108" spans="2:15" x14ac:dyDescent="0.35">
      <c r="B108" s="134"/>
      <c r="C108" s="135"/>
      <c r="D108" s="138"/>
      <c r="E108" s="135"/>
      <c r="F108" s="135"/>
      <c r="G108" s="135"/>
      <c r="H108" s="135"/>
      <c r="I108" s="139"/>
      <c r="J108" s="135"/>
      <c r="K108" s="140"/>
      <c r="L108" s="140"/>
      <c r="M108" s="140"/>
      <c r="N108" s="140"/>
      <c r="O108" s="140"/>
    </row>
    <row r="109" spans="2:15" x14ac:dyDescent="0.35">
      <c r="B109" s="134"/>
      <c r="C109" s="135"/>
      <c r="D109" s="138"/>
      <c r="E109" s="135"/>
      <c r="F109" s="135"/>
      <c r="G109" s="135"/>
      <c r="H109" s="135"/>
      <c r="I109" s="139"/>
      <c r="J109" s="135"/>
      <c r="K109" s="140"/>
      <c r="L109" s="140"/>
      <c r="M109" s="140"/>
      <c r="N109" s="140"/>
      <c r="O109" s="140"/>
    </row>
    <row r="110" spans="2:15" x14ac:dyDescent="0.35">
      <c r="B110" s="134"/>
      <c r="C110" s="135"/>
      <c r="D110" s="138"/>
      <c r="E110" s="135"/>
      <c r="F110" s="135"/>
      <c r="G110" s="135"/>
      <c r="H110" s="135"/>
      <c r="I110" s="139"/>
      <c r="J110" s="135"/>
      <c r="K110" s="140"/>
      <c r="L110" s="140"/>
      <c r="M110" s="140"/>
      <c r="N110" s="140"/>
      <c r="O110" s="140"/>
    </row>
    <row r="111" spans="2:15" x14ac:dyDescent="0.35">
      <c r="B111" s="134"/>
      <c r="C111" s="135"/>
      <c r="D111" s="138"/>
      <c r="E111" s="135"/>
      <c r="F111" s="135"/>
      <c r="G111" s="135"/>
      <c r="H111" s="135"/>
      <c r="I111" s="139"/>
      <c r="J111" s="135"/>
      <c r="K111" s="140"/>
      <c r="L111" s="140"/>
      <c r="M111" s="140"/>
      <c r="N111" s="140"/>
      <c r="O111" s="140"/>
    </row>
    <row r="112" spans="2:15" x14ac:dyDescent="0.35">
      <c r="B112" s="134"/>
      <c r="C112" s="135"/>
      <c r="D112" s="138"/>
      <c r="E112" s="135"/>
      <c r="F112" s="135"/>
      <c r="G112" s="135"/>
      <c r="H112" s="135"/>
      <c r="I112" s="139"/>
      <c r="J112" s="135"/>
      <c r="K112" s="140"/>
      <c r="L112" s="140"/>
      <c r="M112" s="140"/>
      <c r="N112" s="140"/>
      <c r="O112" s="140"/>
    </row>
    <row r="113" spans="2:15" x14ac:dyDescent="0.35">
      <c r="B113" s="134"/>
      <c r="C113" s="135"/>
      <c r="D113" s="138"/>
      <c r="E113" s="135"/>
      <c r="F113" s="135"/>
      <c r="G113" s="135"/>
      <c r="H113" s="135"/>
      <c r="I113" s="139"/>
      <c r="J113" s="135"/>
      <c r="K113" s="140"/>
      <c r="L113" s="140"/>
      <c r="M113" s="140"/>
      <c r="N113" s="140"/>
      <c r="O113" s="140"/>
    </row>
    <row r="114" spans="2:15" x14ac:dyDescent="0.35">
      <c r="B114" s="134"/>
      <c r="C114" s="135"/>
      <c r="D114" s="138"/>
      <c r="E114" s="135"/>
      <c r="F114" s="135"/>
      <c r="G114" s="135"/>
      <c r="H114" s="135"/>
      <c r="I114" s="139"/>
      <c r="J114" s="135"/>
      <c r="K114" s="140"/>
      <c r="L114" s="140"/>
      <c r="M114" s="140"/>
      <c r="N114" s="140"/>
      <c r="O114" s="140"/>
    </row>
    <row r="115" spans="2:15" x14ac:dyDescent="0.35">
      <c r="B115" s="134"/>
      <c r="C115" s="135"/>
      <c r="D115" s="138"/>
      <c r="E115" s="135"/>
      <c r="F115" s="135"/>
      <c r="G115" s="135"/>
      <c r="H115" s="135"/>
      <c r="I115" s="139"/>
      <c r="J115" s="135"/>
      <c r="K115" s="140"/>
      <c r="L115" s="140"/>
      <c r="M115" s="140"/>
      <c r="N115" s="140"/>
      <c r="O115" s="140"/>
    </row>
    <row r="116" spans="2:15" x14ac:dyDescent="0.35">
      <c r="B116" s="134"/>
      <c r="C116" s="135"/>
      <c r="D116" s="138"/>
      <c r="E116" s="135"/>
      <c r="F116" s="135"/>
      <c r="G116" s="135"/>
      <c r="H116" s="135"/>
      <c r="I116" s="139"/>
      <c r="J116" s="135"/>
      <c r="K116" s="140"/>
      <c r="L116" s="140"/>
      <c r="M116" s="140"/>
      <c r="N116" s="140"/>
      <c r="O116" s="140"/>
    </row>
    <row r="117" spans="2:15" x14ac:dyDescent="0.35">
      <c r="B117" s="134"/>
      <c r="C117" s="135"/>
      <c r="D117" s="138"/>
      <c r="E117" s="135"/>
      <c r="F117" s="135"/>
      <c r="G117" s="135"/>
      <c r="H117" s="135"/>
      <c r="I117" s="139"/>
      <c r="J117" s="135"/>
      <c r="K117" s="140"/>
      <c r="L117" s="140"/>
      <c r="M117" s="140"/>
      <c r="N117" s="140"/>
      <c r="O117" s="140"/>
    </row>
    <row r="118" spans="2:15" x14ac:dyDescent="0.35">
      <c r="B118" s="134"/>
      <c r="C118" s="135"/>
      <c r="D118" s="138"/>
      <c r="E118" s="135"/>
      <c r="F118" s="135"/>
      <c r="G118" s="135"/>
      <c r="H118" s="135"/>
      <c r="I118" s="139"/>
      <c r="J118" s="135"/>
      <c r="K118" s="140"/>
      <c r="L118" s="140"/>
      <c r="M118" s="140"/>
      <c r="N118" s="140"/>
      <c r="O118" s="140"/>
    </row>
    <row r="119" spans="2:15" x14ac:dyDescent="0.35">
      <c r="B119" s="134"/>
      <c r="C119" s="135"/>
      <c r="D119" s="138"/>
      <c r="E119" s="135"/>
      <c r="F119" s="135"/>
      <c r="G119" s="135"/>
      <c r="H119" s="135"/>
      <c r="I119" s="139"/>
      <c r="J119" s="135"/>
      <c r="K119" s="140"/>
      <c r="L119" s="140"/>
      <c r="M119" s="140"/>
      <c r="N119" s="140"/>
      <c r="O119" s="140"/>
    </row>
    <row r="120" spans="2:15" x14ac:dyDescent="0.35">
      <c r="B120" s="134"/>
      <c r="C120" s="135"/>
      <c r="D120" s="138"/>
      <c r="E120" s="135"/>
      <c r="F120" s="135"/>
      <c r="G120" s="135"/>
      <c r="H120" s="135"/>
      <c r="I120" s="139"/>
      <c r="J120" s="135"/>
      <c r="K120" s="140"/>
      <c r="L120" s="140"/>
      <c r="M120" s="140"/>
      <c r="N120" s="140"/>
      <c r="O120" s="140"/>
    </row>
    <row r="121" spans="2:15" x14ac:dyDescent="0.35">
      <c r="B121" s="134"/>
      <c r="C121" s="135"/>
      <c r="D121" s="138"/>
      <c r="E121" s="135"/>
      <c r="F121" s="135"/>
      <c r="G121" s="135"/>
      <c r="H121" s="135"/>
      <c r="I121" s="139"/>
      <c r="J121" s="135"/>
      <c r="K121" s="140"/>
      <c r="L121" s="140"/>
      <c r="M121" s="140"/>
      <c r="N121" s="140"/>
      <c r="O121" s="140"/>
    </row>
    <row r="122" spans="2:15" x14ac:dyDescent="0.35">
      <c r="B122" s="134"/>
      <c r="C122" s="135"/>
      <c r="D122" s="138"/>
      <c r="E122" s="135"/>
      <c r="F122" s="135"/>
      <c r="G122" s="135"/>
      <c r="H122" s="135"/>
      <c r="I122" s="139"/>
      <c r="J122" s="135"/>
      <c r="K122" s="140"/>
      <c r="L122" s="140"/>
      <c r="M122" s="140"/>
      <c r="N122" s="140"/>
      <c r="O122" s="140"/>
    </row>
    <row r="123" spans="2:15" x14ac:dyDescent="0.35">
      <c r="B123" s="134"/>
      <c r="C123" s="135"/>
      <c r="D123" s="138"/>
      <c r="E123" s="135"/>
      <c r="F123" s="135"/>
      <c r="G123" s="135"/>
      <c r="H123" s="135"/>
      <c r="I123" s="139"/>
      <c r="J123" s="135"/>
      <c r="K123" s="140"/>
      <c r="L123" s="140"/>
      <c r="M123" s="140"/>
      <c r="N123" s="140"/>
      <c r="O123" s="140"/>
    </row>
    <row r="124" spans="2:15" x14ac:dyDescent="0.35">
      <c r="B124" s="134"/>
      <c r="C124" s="135"/>
      <c r="D124" s="138"/>
      <c r="E124" s="135"/>
      <c r="F124" s="135"/>
      <c r="G124" s="135"/>
      <c r="H124" s="135"/>
      <c r="I124" s="139"/>
      <c r="J124" s="135"/>
      <c r="K124" s="140"/>
      <c r="L124" s="140"/>
      <c r="M124" s="140"/>
      <c r="N124" s="140"/>
      <c r="O124" s="140"/>
    </row>
    <row r="125" spans="2:15" x14ac:dyDescent="0.35">
      <c r="B125" s="134"/>
      <c r="C125" s="135"/>
      <c r="D125" s="138"/>
      <c r="E125" s="135"/>
      <c r="F125" s="135"/>
      <c r="G125" s="135"/>
      <c r="H125" s="135"/>
      <c r="I125" s="139"/>
      <c r="J125" s="135"/>
      <c r="K125" s="140"/>
      <c r="L125" s="140"/>
      <c r="M125" s="140"/>
      <c r="N125" s="140"/>
      <c r="O125" s="140"/>
    </row>
    <row r="126" spans="2:15" x14ac:dyDescent="0.35">
      <c r="B126" s="134"/>
      <c r="C126" s="135"/>
      <c r="D126" s="138"/>
      <c r="E126" s="135"/>
      <c r="F126" s="135"/>
      <c r="G126" s="135"/>
      <c r="H126" s="135"/>
      <c r="I126" s="139"/>
      <c r="J126" s="135"/>
      <c r="K126" s="140"/>
      <c r="L126" s="140"/>
      <c r="M126" s="140"/>
      <c r="N126" s="140"/>
      <c r="O126" s="140"/>
    </row>
    <row r="127" spans="2:15" x14ac:dyDescent="0.35">
      <c r="B127" s="134"/>
      <c r="C127" s="135"/>
      <c r="D127" s="138"/>
      <c r="E127" s="135"/>
      <c r="F127" s="135"/>
      <c r="G127" s="135"/>
      <c r="H127" s="135"/>
      <c r="I127" s="139"/>
      <c r="J127" s="135"/>
      <c r="K127" s="140"/>
      <c r="L127" s="140"/>
      <c r="M127" s="140"/>
      <c r="N127" s="140"/>
      <c r="O127" s="140"/>
    </row>
    <row r="128" spans="2:15" x14ac:dyDescent="0.35">
      <c r="B128" s="134"/>
      <c r="C128" s="135"/>
      <c r="D128" s="138"/>
      <c r="E128" s="135"/>
      <c r="F128" s="135"/>
      <c r="G128" s="135"/>
      <c r="H128" s="135"/>
      <c r="I128" s="139"/>
      <c r="J128" s="135"/>
      <c r="K128" s="140"/>
      <c r="L128" s="140"/>
      <c r="M128" s="140"/>
      <c r="N128" s="140"/>
      <c r="O128" s="140"/>
    </row>
    <row r="129" spans="2:15" x14ac:dyDescent="0.35">
      <c r="B129" s="134"/>
      <c r="C129" s="135"/>
      <c r="D129" s="138"/>
      <c r="E129" s="135"/>
      <c r="F129" s="135"/>
      <c r="G129" s="135"/>
      <c r="H129" s="135"/>
      <c r="I129" s="139"/>
      <c r="J129" s="135"/>
      <c r="K129" s="140"/>
      <c r="L129" s="140"/>
      <c r="M129" s="140"/>
      <c r="N129" s="140"/>
      <c r="O129" s="140"/>
    </row>
    <row r="130" spans="2:15" x14ac:dyDescent="0.35">
      <c r="B130" s="134"/>
      <c r="C130" s="135"/>
      <c r="D130" s="138"/>
      <c r="E130" s="135"/>
      <c r="F130" s="135"/>
      <c r="G130" s="135"/>
      <c r="H130" s="135"/>
      <c r="I130" s="139"/>
      <c r="J130" s="135"/>
      <c r="K130" s="140"/>
      <c r="L130" s="140"/>
      <c r="M130" s="140"/>
      <c r="N130" s="140"/>
      <c r="O130" s="140"/>
    </row>
    <row r="131" spans="2:15" x14ac:dyDescent="0.35">
      <c r="G131" s="2"/>
    </row>
  </sheetData>
  <sheetProtection algorithmName="SHA-512" hashValue="oG2kmzflb5jNAvJ1AfonDPnu0nLyLD0sl2f3acgB/opL7AwuFp4G539OS0l1OnQY2eg1liKLngxCUExVa4XjYQ==" saltValue="9DSr9Z9P8zY+0F6Z0oWEww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AG131"/>
  <sheetViews>
    <sheetView topLeftCell="A67" zoomScale="60" zoomScaleNormal="60" workbookViewId="0">
      <selection activeCell="T87" sqref="T87"/>
    </sheetView>
  </sheetViews>
  <sheetFormatPr defaultRowHeight="14.5" x14ac:dyDescent="0.35"/>
  <cols>
    <col min="8" max="8" width="12.7265625" customWidth="1"/>
    <col min="9" max="9" width="10.54296875" customWidth="1"/>
    <col min="11" max="15" width="10.453125" customWidth="1"/>
    <col min="17" max="17" width="9.7265625" customWidth="1"/>
    <col min="20" max="20" width="12.7265625" customWidth="1"/>
    <col min="23" max="23" width="10.54296875" customWidth="1"/>
  </cols>
  <sheetData>
    <row r="1" spans="1:33" ht="58" x14ac:dyDescent="0.35">
      <c r="B1" s="75" t="s">
        <v>208</v>
      </c>
      <c r="C1" s="84">
        <f>InputOutput!B14</f>
        <v>0.69</v>
      </c>
      <c r="D1" s="84">
        <f>InputOutput!C14</f>
        <v>0.185</v>
      </c>
      <c r="E1" s="84">
        <f>InputOutput!D14</f>
        <v>0.185</v>
      </c>
      <c r="L1" t="s">
        <v>225</v>
      </c>
      <c r="M1">
        <f>4*M10</f>
        <v>100</v>
      </c>
      <c r="N1">
        <f>4*N10</f>
        <v>112</v>
      </c>
      <c r="Z1" s="3">
        <f>D1</f>
        <v>0.185</v>
      </c>
      <c r="AE1" s="3">
        <f>E1</f>
        <v>0.185</v>
      </c>
    </row>
    <row r="2" spans="1:33" x14ac:dyDescent="0.35">
      <c r="C2">
        <f>(C51-C5)/9</f>
        <v>3.128338272826312</v>
      </c>
      <c r="D2">
        <f>(D51-D5)/9</f>
        <v>1.0969985778511319E-2</v>
      </c>
      <c r="E2">
        <f>(E51-E5)/9</f>
        <v>3.7625653368550242E-4</v>
      </c>
      <c r="I2" s="76"/>
      <c r="L2" t="s">
        <v>224</v>
      </c>
      <c r="M2">
        <f>3.75*M10</f>
        <v>93.75</v>
      </c>
      <c r="N2">
        <f>3.75*N10</f>
        <v>105</v>
      </c>
      <c r="Z2">
        <f>(Z51-Z5)/9</f>
        <v>1.0630950699189845E-2</v>
      </c>
      <c r="AE2">
        <f>(AE51-AE5)/9</f>
        <v>3.5174820225050387E-4</v>
      </c>
    </row>
    <row r="3" spans="1:33" x14ac:dyDescent="0.35">
      <c r="C3">
        <f>C60/20</f>
        <v>0.68282335947149053</v>
      </c>
      <c r="I3" s="76"/>
      <c r="Z3" s="130">
        <f>Z48</f>
        <v>0.60557344778995981</v>
      </c>
      <c r="AE3" s="130">
        <f>AE48</f>
        <v>2.434199193708618E-2</v>
      </c>
    </row>
    <row r="4" spans="1:33" x14ac:dyDescent="0.35">
      <c r="C4" s="3">
        <f>(1-C1)</f>
        <v>0.31000000000000005</v>
      </c>
      <c r="D4" s="3">
        <f t="shared" ref="D4:E4" si="0">(1-D1)</f>
        <v>0.81499999999999995</v>
      </c>
      <c r="E4" s="3">
        <f t="shared" si="0"/>
        <v>0.81499999999999995</v>
      </c>
      <c r="I4" s="76"/>
      <c r="Z4" s="3">
        <f t="shared" ref="Z4" si="1">(1-Z1)</f>
        <v>0.81499999999999995</v>
      </c>
      <c r="AE4" s="3">
        <f t="shared" ref="AE4" si="2">(1-AE1)</f>
        <v>0.81499999999999995</v>
      </c>
    </row>
    <row r="5" spans="1:33" x14ac:dyDescent="0.35">
      <c r="A5" t="s">
        <v>0</v>
      </c>
      <c r="C5">
        <f>C48*C4</f>
        <v>13.656467189429812</v>
      </c>
      <c r="D5">
        <f>D48*D4</f>
        <v>0.50825439200073286</v>
      </c>
      <c r="E5">
        <f>E48*E4</f>
        <v>2.0902233901837007E-2</v>
      </c>
      <c r="F5">
        <f>N10</f>
        <v>28</v>
      </c>
      <c r="G5">
        <v>265</v>
      </c>
      <c r="I5" s="2"/>
      <c r="L5" t="s">
        <v>212</v>
      </c>
      <c r="M5">
        <v>0.75</v>
      </c>
      <c r="N5">
        <f>M5</f>
        <v>0.75</v>
      </c>
      <c r="Z5">
        <f>Z3*Z4</f>
        <v>0.49354235994881723</v>
      </c>
      <c r="AE5">
        <f>AE3*AE4</f>
        <v>1.9838723428725235E-2</v>
      </c>
    </row>
    <row r="6" spans="1:33" x14ac:dyDescent="0.35">
      <c r="B6" t="s">
        <v>1</v>
      </c>
      <c r="C6" t="s">
        <v>5</v>
      </c>
      <c r="D6" t="s">
        <v>5</v>
      </c>
      <c r="E6" t="s">
        <v>5</v>
      </c>
      <c r="F6" t="s">
        <v>7</v>
      </c>
      <c r="G6" t="s">
        <v>10</v>
      </c>
      <c r="L6" t="s">
        <v>213</v>
      </c>
      <c r="M6">
        <v>0.25</v>
      </c>
      <c r="N6">
        <f t="shared" ref="N6:N8" si="3">M6</f>
        <v>0.25</v>
      </c>
      <c r="Z6" s="88">
        <f>1-Z60/Z48</f>
        <v>0.18500000000000005</v>
      </c>
      <c r="AA6" s="88">
        <f>1-AA60/AA48</f>
        <v>0.50969877826891841</v>
      </c>
      <c r="AB6" s="88">
        <f>1-AB60/AB48</f>
        <v>0.19439879498985868</v>
      </c>
      <c r="AE6" s="88">
        <f>1-AE60/AE48</f>
        <v>0.18499999999999994</v>
      </c>
      <c r="AF6" s="88">
        <f t="shared" ref="AF6:AG6" si="4">1-AF60/AF48</f>
        <v>0.50969877826891841</v>
      </c>
      <c r="AG6" s="88">
        <f t="shared" si="4"/>
        <v>0.20152074859162505</v>
      </c>
    </row>
    <row r="7" spans="1:33" ht="43.5" x14ac:dyDescent="0.35">
      <c r="B7" t="s">
        <v>1</v>
      </c>
      <c r="C7" t="s">
        <v>2</v>
      </c>
      <c r="D7" t="s">
        <v>3</v>
      </c>
      <c r="E7" t="s">
        <v>4</v>
      </c>
      <c r="F7" t="str">
        <f>D7</f>
        <v>CH4</v>
      </c>
      <c r="G7" t="str">
        <f>E7</f>
        <v>N2O</v>
      </c>
      <c r="H7" t="s">
        <v>8</v>
      </c>
      <c r="I7" t="str">
        <f>F7</f>
        <v>CH4</v>
      </c>
      <c r="J7" s="75" t="s">
        <v>9</v>
      </c>
      <c r="K7" s="75" t="s">
        <v>207</v>
      </c>
      <c r="L7" t="s">
        <v>214</v>
      </c>
      <c r="M7">
        <v>100</v>
      </c>
      <c r="N7">
        <f t="shared" si="3"/>
        <v>100</v>
      </c>
      <c r="U7" t="s">
        <v>239</v>
      </c>
      <c r="V7" t="s">
        <v>238</v>
      </c>
    </row>
    <row r="8" spans="1:33" x14ac:dyDescent="0.35">
      <c r="C8" s="2"/>
      <c r="D8" s="1"/>
      <c r="E8" s="1"/>
      <c r="F8" s="2"/>
      <c r="G8" s="2"/>
      <c r="H8" s="2"/>
      <c r="L8" t="s">
        <v>218</v>
      </c>
      <c r="M8">
        <v>20</v>
      </c>
      <c r="N8">
        <f t="shared" si="3"/>
        <v>20</v>
      </c>
    </row>
    <row r="9" spans="1:33" x14ac:dyDescent="0.35">
      <c r="C9" s="2"/>
      <c r="D9" s="1"/>
      <c r="E9" s="1"/>
      <c r="F9" s="2"/>
      <c r="G9" s="2"/>
      <c r="H9" s="2"/>
      <c r="M9" t="s">
        <v>216</v>
      </c>
      <c r="N9" s="76" t="s">
        <v>217</v>
      </c>
    </row>
    <row r="10" spans="1:33" x14ac:dyDescent="0.35">
      <c r="C10" s="2"/>
      <c r="D10" s="1"/>
      <c r="E10" s="1"/>
      <c r="F10" s="2"/>
      <c r="G10" s="2"/>
      <c r="H10" s="2"/>
      <c r="L10" t="s">
        <v>215</v>
      </c>
      <c r="M10">
        <v>25</v>
      </c>
      <c r="N10" s="76">
        <v>28</v>
      </c>
    </row>
    <row r="11" spans="1:33" x14ac:dyDescent="0.35">
      <c r="C11" s="2"/>
      <c r="D11" s="1"/>
      <c r="E11" s="1"/>
      <c r="F11" s="2"/>
      <c r="G11" s="2"/>
      <c r="H11" s="2"/>
      <c r="L11" t="s">
        <v>219</v>
      </c>
      <c r="M11">
        <f>M5*M7/M8</f>
        <v>3.75</v>
      </c>
      <c r="N11" s="76">
        <f>N5*N7/N8</f>
        <v>3.75</v>
      </c>
    </row>
    <row r="12" spans="1:33" x14ac:dyDescent="0.35">
      <c r="C12" s="2"/>
      <c r="D12" s="1"/>
      <c r="E12" s="1"/>
      <c r="F12" s="2"/>
      <c r="G12" s="2"/>
      <c r="H12" s="2"/>
      <c r="L12" t="s">
        <v>220</v>
      </c>
      <c r="M12" s="1">
        <f>D49</f>
        <v>0.60727248931136102</v>
      </c>
      <c r="N12" s="69">
        <f>M12</f>
        <v>0.60727248931136102</v>
      </c>
    </row>
    <row r="13" spans="1:33" x14ac:dyDescent="0.35">
      <c r="C13" s="2"/>
      <c r="D13" s="1"/>
      <c r="E13" s="1"/>
      <c r="F13" s="2"/>
      <c r="G13" s="2"/>
      <c r="H13" s="2"/>
      <c r="L13" t="s">
        <v>221</v>
      </c>
      <c r="M13" s="1">
        <f>D29</f>
        <v>0.60985790475145341</v>
      </c>
      <c r="N13" s="69">
        <f>M13</f>
        <v>0.60985790475145341</v>
      </c>
    </row>
    <row r="14" spans="1:33" x14ac:dyDescent="0.35">
      <c r="C14" s="2"/>
      <c r="D14" s="1"/>
      <c r="E14" s="1"/>
      <c r="F14" s="2"/>
      <c r="G14" s="2"/>
      <c r="H14" s="2"/>
      <c r="L14" s="76" t="s">
        <v>222</v>
      </c>
      <c r="M14" s="77">
        <f>(M11*(M12-M13)+M12*M6)*M10</f>
        <v>3.5530703606873453</v>
      </c>
      <c r="N14" s="77">
        <f>(N11*(N12-N13)+N12*N6)*N10</f>
        <v>3.9794388039698267</v>
      </c>
    </row>
    <row r="15" spans="1:33" x14ac:dyDescent="0.35">
      <c r="C15" s="2"/>
      <c r="D15" s="1"/>
      <c r="E15" s="1"/>
      <c r="F15" s="2"/>
      <c r="G15" s="2"/>
      <c r="H15" s="2"/>
      <c r="L15" s="76" t="s">
        <v>223</v>
      </c>
      <c r="M15" s="77">
        <f>M12*M1-M13*M2</f>
        <v>3.5530703606873431</v>
      </c>
      <c r="N15" s="77">
        <f>N12*N1-N13*N2</f>
        <v>3.9794388039698276</v>
      </c>
    </row>
    <row r="16" spans="1:33" x14ac:dyDescent="0.35">
      <c r="C16" s="2"/>
      <c r="D16" s="1"/>
      <c r="E16" s="1"/>
      <c r="F16" s="2"/>
      <c r="G16" s="2"/>
      <c r="H16" s="2"/>
    </row>
    <row r="17" spans="2:10" x14ac:dyDescent="0.35">
      <c r="C17" s="2"/>
      <c r="D17" s="1"/>
      <c r="E17" s="1"/>
      <c r="F17" s="2"/>
      <c r="G17" s="2"/>
      <c r="H17" s="2"/>
    </row>
    <row r="18" spans="2:10" x14ac:dyDescent="0.35">
      <c r="C18" s="2"/>
      <c r="D18" s="1"/>
      <c r="E18" s="1"/>
      <c r="F18" s="2"/>
      <c r="G18" s="2"/>
      <c r="H18" s="2"/>
    </row>
    <row r="19" spans="2:10" x14ac:dyDescent="0.35">
      <c r="C19" s="2"/>
      <c r="D19" s="1"/>
      <c r="E19" s="1"/>
      <c r="F19" s="2"/>
      <c r="G19" s="2"/>
      <c r="H19" s="2"/>
    </row>
    <row r="20" spans="2:10" x14ac:dyDescent="0.35">
      <c r="B20">
        <v>1990</v>
      </c>
      <c r="C20" s="68">
        <f>'CO2 1990-2019'!E80/1000</f>
        <v>37.503901917692637</v>
      </c>
      <c r="D20" s="69">
        <f>'CH4 1990-2019'!E80/1000</f>
        <v>0.56846617435307711</v>
      </c>
      <c r="E20" s="69">
        <f>'N2O 1990-2019'!E81/1000</f>
        <v>2.6227661646226468E-2</v>
      </c>
      <c r="F20" s="2">
        <f t="shared" ref="F20:G60" si="5">D20*F$5</f>
        <v>15.917052881886159</v>
      </c>
      <c r="G20" s="2">
        <f t="shared" si="5"/>
        <v>6.9503303362500137</v>
      </c>
      <c r="H20" s="2">
        <f t="shared" ref="H20:H60" si="6">SUM(F20:G20)+C20</f>
        <v>60.371285135828813</v>
      </c>
      <c r="I20" s="2"/>
      <c r="J20" s="2"/>
    </row>
    <row r="21" spans="2:10" x14ac:dyDescent="0.35">
      <c r="B21">
        <f>B20+1</f>
        <v>1991</v>
      </c>
      <c r="C21" s="68">
        <f>'CO2 1990-2019'!E81/1000</f>
        <v>38.099012193795097</v>
      </c>
      <c r="D21" s="69">
        <f>'CH4 1990-2019'!E81/1000</f>
        <v>0.57899497527056076</v>
      </c>
      <c r="E21" s="69">
        <f>'N2O 1990-2019'!E82/1000</f>
        <v>2.554114757699584E-2</v>
      </c>
      <c r="F21" s="2">
        <f t="shared" si="5"/>
        <v>16.2118593075757</v>
      </c>
      <c r="G21" s="2">
        <f t="shared" si="5"/>
        <v>6.7684041079038977</v>
      </c>
      <c r="H21" s="2">
        <f t="shared" si="6"/>
        <v>61.079275609274696</v>
      </c>
      <c r="I21" s="2"/>
      <c r="J21" s="2"/>
    </row>
    <row r="22" spans="2:10" x14ac:dyDescent="0.35">
      <c r="B22">
        <f t="shared" ref="B22:B85" si="7">B21+1</f>
        <v>1992</v>
      </c>
      <c r="C22" s="68">
        <f>'CO2 1990-2019'!E82/1000</f>
        <v>37.716183401651868</v>
      </c>
      <c r="D22" s="69">
        <f>'CH4 1990-2019'!E82/1000</f>
        <v>0.58638316837148285</v>
      </c>
      <c r="E22" s="69">
        <f>'N2O 1990-2019'!E83/1000</f>
        <v>2.5204417941327273E-2</v>
      </c>
      <c r="F22" s="2">
        <f t="shared" si="5"/>
        <v>16.418728714401521</v>
      </c>
      <c r="G22" s="2">
        <f t="shared" si="5"/>
        <v>6.6791707544517269</v>
      </c>
      <c r="H22" s="2">
        <f t="shared" si="6"/>
        <v>60.814082870505118</v>
      </c>
      <c r="I22" s="2"/>
      <c r="J22" s="2"/>
    </row>
    <row r="23" spans="2:10" x14ac:dyDescent="0.35">
      <c r="B23">
        <f t="shared" si="7"/>
        <v>1993</v>
      </c>
      <c r="C23" s="68">
        <f>'CO2 1990-2019'!E83/1000</f>
        <v>37.813894147276059</v>
      </c>
      <c r="D23" s="69">
        <f>'CH4 1990-2019'!E83/1000</f>
        <v>0.59483377727766906</v>
      </c>
      <c r="E23" s="69">
        <f>'N2O 1990-2019'!E84/1000</f>
        <v>2.5697521605793531E-2</v>
      </c>
      <c r="F23" s="2">
        <f t="shared" si="5"/>
        <v>16.655345763774733</v>
      </c>
      <c r="G23" s="2">
        <f t="shared" si="5"/>
        <v>6.8098432255352854</v>
      </c>
      <c r="H23" s="2">
        <f t="shared" si="6"/>
        <v>61.279083136586081</v>
      </c>
      <c r="I23" s="2"/>
      <c r="J23" s="2"/>
    </row>
    <row r="24" spans="2:10" x14ac:dyDescent="0.35">
      <c r="B24">
        <f t="shared" si="7"/>
        <v>1994</v>
      </c>
      <c r="C24" s="68">
        <f>'CO2 1990-2019'!E84/1000</f>
        <v>39.097461645272396</v>
      </c>
      <c r="D24" s="69">
        <f>'CH4 1990-2019'!E84/1000</f>
        <v>0.59526602098909942</v>
      </c>
      <c r="E24" s="69">
        <f>'N2O 1990-2019'!E85/1000</f>
        <v>2.6660195601452181E-2</v>
      </c>
      <c r="F24" s="2">
        <f t="shared" si="5"/>
        <v>16.667448587694786</v>
      </c>
      <c r="G24" s="2">
        <f t="shared" si="5"/>
        <v>7.0649518343848277</v>
      </c>
      <c r="H24" s="2">
        <f t="shared" si="6"/>
        <v>62.829862067352011</v>
      </c>
      <c r="I24" s="2"/>
      <c r="J24" s="2"/>
    </row>
    <row r="25" spans="2:10" x14ac:dyDescent="0.35">
      <c r="B25">
        <f t="shared" si="7"/>
        <v>1995</v>
      </c>
      <c r="C25" s="68">
        <f>'CO2 1990-2019'!E85/1000</f>
        <v>41.117756580617204</v>
      </c>
      <c r="D25" s="69">
        <f>'CH4 1990-2019'!E85/1000</f>
        <v>0.60059169683666336</v>
      </c>
      <c r="E25" s="69">
        <f>'N2O 1990-2019'!E86/1000</f>
        <v>2.7848538989904151E-2</v>
      </c>
      <c r="F25" s="2">
        <f t="shared" si="5"/>
        <v>16.816567511426573</v>
      </c>
      <c r="G25" s="2">
        <f t="shared" si="5"/>
        <v>7.3798628323245996</v>
      </c>
      <c r="H25" s="2">
        <f t="shared" si="6"/>
        <v>65.314186924368386</v>
      </c>
      <c r="I25" s="2"/>
      <c r="J25" s="2"/>
    </row>
    <row r="26" spans="2:10" x14ac:dyDescent="0.35">
      <c r="B26">
        <f t="shared" si="7"/>
        <v>1996</v>
      </c>
      <c r="C26" s="68">
        <f>'CO2 1990-2019'!E86/1000</f>
        <v>42.401848154429679</v>
      </c>
      <c r="D26" s="69">
        <f>'CH4 1990-2019'!E86/1000</f>
        <v>0.61511089079967096</v>
      </c>
      <c r="E26" s="69">
        <f>'N2O 1990-2019'!E87/1000</f>
        <v>2.8242940550096497E-2</v>
      </c>
      <c r="F26" s="2">
        <f t="shared" si="5"/>
        <v>17.223104942390787</v>
      </c>
      <c r="G26" s="2">
        <f t="shared" si="5"/>
        <v>7.484379245775572</v>
      </c>
      <c r="H26" s="2">
        <f t="shared" si="6"/>
        <v>67.109332342596034</v>
      </c>
      <c r="I26" s="2"/>
      <c r="J26" s="2"/>
    </row>
    <row r="27" spans="2:10" x14ac:dyDescent="0.35">
      <c r="B27">
        <f t="shared" si="7"/>
        <v>1997</v>
      </c>
      <c r="C27" s="68">
        <f>'CO2 1990-2019'!E87/1000</f>
        <v>43.245116683187582</v>
      </c>
      <c r="D27" s="69">
        <f>'CH4 1990-2019'!E87/1000</f>
        <v>0.61488733682276098</v>
      </c>
      <c r="E27" s="69">
        <f>'N2O 1990-2019'!E88/1000</f>
        <v>2.7991006485181408E-2</v>
      </c>
      <c r="F27" s="2">
        <f t="shared" si="5"/>
        <v>17.216845431037306</v>
      </c>
      <c r="G27" s="2">
        <f t="shared" si="5"/>
        <v>7.4176167185730728</v>
      </c>
      <c r="H27" s="2">
        <f t="shared" si="6"/>
        <v>67.879578832797961</v>
      </c>
      <c r="I27" s="2"/>
      <c r="J27" s="2"/>
    </row>
    <row r="28" spans="2:10" x14ac:dyDescent="0.35">
      <c r="B28">
        <f t="shared" si="7"/>
        <v>1998</v>
      </c>
      <c r="C28" s="68">
        <f>'CO2 1990-2019'!E88/1000</f>
        <v>44.87012369632712</v>
      </c>
      <c r="D28" s="69">
        <f>'CH4 1990-2019'!E88/1000</f>
        <v>0.62689098869315008</v>
      </c>
      <c r="E28" s="69">
        <f>'N2O 1990-2019'!E89/1000</f>
        <v>2.9429943506676829E-2</v>
      </c>
      <c r="F28" s="2">
        <f t="shared" si="5"/>
        <v>17.552947683408203</v>
      </c>
      <c r="G28" s="2">
        <f t="shared" si="5"/>
        <v>7.7989350292693596</v>
      </c>
      <c r="H28" s="2">
        <f t="shared" si="6"/>
        <v>70.222006409004678</v>
      </c>
      <c r="I28" s="2"/>
      <c r="J28" s="2"/>
    </row>
    <row r="29" spans="2:10" x14ac:dyDescent="0.35">
      <c r="B29">
        <f t="shared" si="7"/>
        <v>1999</v>
      </c>
      <c r="C29" s="68">
        <f>'CO2 1990-2019'!E89/1000</f>
        <v>46.906820617827236</v>
      </c>
      <c r="D29" s="69">
        <f>'CH4 1990-2019'!E89/1000</f>
        <v>0.60985790475145341</v>
      </c>
      <c r="E29" s="69">
        <f>'N2O 1990-2019'!E90/1000</f>
        <v>2.8645206014373741E-2</v>
      </c>
      <c r="F29" s="2">
        <f t="shared" si="5"/>
        <v>17.076021333040696</v>
      </c>
      <c r="G29" s="2">
        <f t="shared" si="5"/>
        <v>7.5909795938090419</v>
      </c>
      <c r="H29" s="2">
        <f t="shared" si="6"/>
        <v>71.573821544676974</v>
      </c>
      <c r="I29" s="2"/>
      <c r="J29" s="2"/>
    </row>
    <row r="30" spans="2:10" x14ac:dyDescent="0.35">
      <c r="B30">
        <f t="shared" si="7"/>
        <v>2000</v>
      </c>
      <c r="C30" s="68">
        <f>'CO2 1990-2019'!E90/1000</f>
        <v>51.264446064409647</v>
      </c>
      <c r="D30" s="69">
        <f>'CH4 1990-2019'!E90/1000</f>
        <v>0.59281659514673379</v>
      </c>
      <c r="E30" s="69">
        <f>'N2O 1990-2019'!E91/1000</f>
        <v>2.7713149439546961E-2</v>
      </c>
      <c r="F30" s="2">
        <f t="shared" si="5"/>
        <v>16.598864664108547</v>
      </c>
      <c r="G30" s="2">
        <f t="shared" si="5"/>
        <v>7.3439846014799448</v>
      </c>
      <c r="H30" s="2">
        <f t="shared" si="6"/>
        <v>75.207295329998146</v>
      </c>
      <c r="I30" s="2"/>
      <c r="J30" s="2"/>
    </row>
    <row r="31" spans="2:10" x14ac:dyDescent="0.35">
      <c r="B31">
        <f t="shared" si="7"/>
        <v>2001</v>
      </c>
      <c r="C31" s="68">
        <f>'CO2 1990-2019'!E91/1000</f>
        <v>54.663990010623849</v>
      </c>
      <c r="D31" s="69">
        <f>'CH4 1990-2019'!E91/1000</f>
        <v>0.60653930034350212</v>
      </c>
      <c r="E31" s="69">
        <f>'N2O 1990-2019'!E92/1000</f>
        <v>2.6361520111669961E-2</v>
      </c>
      <c r="F31" s="2">
        <f t="shared" si="5"/>
        <v>16.983100409618061</v>
      </c>
      <c r="G31" s="2">
        <f t="shared" si="5"/>
        <v>6.9858028295925401</v>
      </c>
      <c r="H31" s="2">
        <f t="shared" si="6"/>
        <v>78.632893249834453</v>
      </c>
      <c r="I31" s="2"/>
      <c r="J31" s="2"/>
    </row>
    <row r="32" spans="2:10" x14ac:dyDescent="0.35">
      <c r="B32">
        <f t="shared" si="7"/>
        <v>2002</v>
      </c>
      <c r="C32" s="68">
        <f>'CO2 1990-2019'!E92/1000</f>
        <v>53.050683185293025</v>
      </c>
      <c r="D32" s="69">
        <f>'CH4 1990-2019'!E92/1000</f>
        <v>0.59584131612224078</v>
      </c>
      <c r="E32" s="69">
        <f>'N2O 1990-2019'!E93/1000</f>
        <v>2.5205268301960501E-2</v>
      </c>
      <c r="F32" s="2">
        <f t="shared" si="5"/>
        <v>16.683556851422743</v>
      </c>
      <c r="G32" s="2">
        <f t="shared" si="5"/>
        <v>6.6793961000195328</v>
      </c>
      <c r="H32" s="2">
        <f t="shared" si="6"/>
        <v>76.413636136735306</v>
      </c>
      <c r="I32" s="2"/>
      <c r="J32" s="2"/>
    </row>
    <row r="33" spans="2:33" x14ac:dyDescent="0.35">
      <c r="B33">
        <f t="shared" si="7"/>
        <v>2003</v>
      </c>
      <c r="C33" s="68">
        <f>'CO2 1990-2019'!E93/1000</f>
        <v>52.911204011821269</v>
      </c>
      <c r="D33" s="69">
        <f>'CH4 1990-2019'!E93/1000</f>
        <v>0.6315771849487738</v>
      </c>
      <c r="E33" s="69">
        <f>'N2O 1990-2019'!E94/1000</f>
        <v>2.5051707160096713E-2</v>
      </c>
      <c r="F33" s="2">
        <f t="shared" si="5"/>
        <v>17.684161178565667</v>
      </c>
      <c r="G33" s="2">
        <f t="shared" si="5"/>
        <v>6.6387023974256287</v>
      </c>
      <c r="H33" s="2">
        <f t="shared" si="6"/>
        <v>77.234067587812561</v>
      </c>
      <c r="I33" s="2"/>
      <c r="J33" s="2"/>
    </row>
    <row r="34" spans="2:33" x14ac:dyDescent="0.35">
      <c r="B34">
        <f t="shared" si="7"/>
        <v>2004</v>
      </c>
      <c r="C34" s="68">
        <f>'CO2 1990-2019'!E94/1000</f>
        <v>51.897755100973896</v>
      </c>
      <c r="D34" s="69">
        <f>'CH4 1990-2019'!E94/1000</f>
        <v>0.58670195261344882</v>
      </c>
      <c r="E34" s="69">
        <f>'N2O 1990-2019'!E95/1000</f>
        <v>2.4462801837163501E-2</v>
      </c>
      <c r="F34" s="2">
        <f t="shared" si="5"/>
        <v>16.427654673176566</v>
      </c>
      <c r="G34" s="2">
        <f t="shared" si="5"/>
        <v>6.4826424868483281</v>
      </c>
      <c r="H34" s="2">
        <f t="shared" si="6"/>
        <v>74.808052260998792</v>
      </c>
      <c r="I34" s="2"/>
      <c r="J34" s="2"/>
    </row>
    <row r="35" spans="2:33" x14ac:dyDescent="0.35">
      <c r="B35">
        <f t="shared" si="7"/>
        <v>2005</v>
      </c>
      <c r="C35" s="68">
        <f>'CO2 1990-2019'!E95/1000</f>
        <v>54.59560870610084</v>
      </c>
      <c r="D35" s="69">
        <f>'CH4 1990-2019'!E95/1000</f>
        <v>0.57896199008081672</v>
      </c>
      <c r="E35" s="69">
        <f>'N2O 1990-2019'!E96/1000</f>
        <v>2.4090144176706841E-2</v>
      </c>
      <c r="F35" s="2">
        <f t="shared" si="5"/>
        <v>16.210935722262867</v>
      </c>
      <c r="G35" s="2">
        <f t="shared" si="5"/>
        <v>6.3838882068273133</v>
      </c>
      <c r="H35" s="2">
        <f t="shared" si="6"/>
        <v>77.19043263519103</v>
      </c>
      <c r="I35" s="2"/>
      <c r="J35" s="2"/>
    </row>
    <row r="36" spans="2:33" x14ac:dyDescent="0.35">
      <c r="B36">
        <f t="shared" si="7"/>
        <v>2006</v>
      </c>
      <c r="C36" s="68">
        <f>'CO2 1990-2019'!E96/1000</f>
        <v>54.461539202046147</v>
      </c>
      <c r="D36" s="69">
        <f>'CH4 1990-2019'!E96/1000</f>
        <v>0.58365900940295345</v>
      </c>
      <c r="E36" s="69">
        <f>'N2O 1990-2019'!E97/1000</f>
        <v>2.3416369558615369E-2</v>
      </c>
      <c r="F36" s="2">
        <f t="shared" si="5"/>
        <v>16.342452263282695</v>
      </c>
      <c r="G36" s="2">
        <f t="shared" si="5"/>
        <v>6.2053379330330731</v>
      </c>
      <c r="H36" s="2">
        <f t="shared" si="6"/>
        <v>77.009329398361913</v>
      </c>
      <c r="I36" s="2"/>
      <c r="J36" s="2"/>
    </row>
    <row r="37" spans="2:33" x14ac:dyDescent="0.35">
      <c r="B37">
        <f t="shared" si="7"/>
        <v>2007</v>
      </c>
      <c r="C37" s="68">
        <f>'CO2 1990-2019'!E97/1000</f>
        <v>53.746045769965306</v>
      </c>
      <c r="D37" s="69">
        <f>'CH4 1990-2019'!E97/1000</f>
        <v>0.54949163157015002</v>
      </c>
      <c r="E37" s="69">
        <f>'N2O 1990-2019'!E98/1000</f>
        <v>2.2587866931128592E-2</v>
      </c>
      <c r="F37" s="2">
        <f t="shared" si="5"/>
        <v>15.3857656839642</v>
      </c>
      <c r="G37" s="2">
        <f t="shared" si="5"/>
        <v>5.9857847367490766</v>
      </c>
      <c r="H37" s="2">
        <f t="shared" si="6"/>
        <v>75.117596190678583</v>
      </c>
      <c r="I37" s="2"/>
      <c r="J37" s="2"/>
    </row>
    <row r="38" spans="2:33" x14ac:dyDescent="0.35">
      <c r="B38">
        <f t="shared" si="7"/>
        <v>2008</v>
      </c>
      <c r="C38" s="68">
        <f>'CO2 1990-2019'!E98/1000</f>
        <v>52.68158170157681</v>
      </c>
      <c r="D38" s="69">
        <f>'CH4 1990-2019'!E98/1000</f>
        <v>0.54327868568762094</v>
      </c>
      <c r="E38" s="69">
        <f>'N2O 1990-2019'!E99/1000</f>
        <v>2.252824456889773E-2</v>
      </c>
      <c r="F38" s="2">
        <f t="shared" si="5"/>
        <v>15.211803199253387</v>
      </c>
      <c r="G38" s="2">
        <f t="shared" si="5"/>
        <v>5.9699848107578983</v>
      </c>
      <c r="H38" s="2">
        <f t="shared" si="6"/>
        <v>73.863369711588092</v>
      </c>
      <c r="I38" s="2"/>
      <c r="J38" s="2"/>
    </row>
    <row r="39" spans="2:33" x14ac:dyDescent="0.35">
      <c r="B39">
        <f t="shared" si="7"/>
        <v>2009</v>
      </c>
      <c r="C39" s="68">
        <f>'CO2 1990-2019'!E99/1000</f>
        <v>47.163320009204178</v>
      </c>
      <c r="D39" s="69">
        <f>'CH4 1990-2019'!E99/1000</f>
        <v>0.52849395261365861</v>
      </c>
      <c r="E39" s="69">
        <f>'N2O 1990-2019'!E100/1000</f>
        <v>2.1984221435495593E-2</v>
      </c>
      <c r="F39" s="2">
        <f t="shared" si="5"/>
        <v>14.797830673182441</v>
      </c>
      <c r="G39" s="2">
        <f t="shared" si="5"/>
        <v>5.8258186804063321</v>
      </c>
      <c r="H39" s="2">
        <f t="shared" si="6"/>
        <v>67.786969362792945</v>
      </c>
      <c r="I39" s="2"/>
      <c r="J39" s="2"/>
    </row>
    <row r="40" spans="2:33" x14ac:dyDescent="0.35">
      <c r="B40">
        <f t="shared" si="7"/>
        <v>2010</v>
      </c>
      <c r="C40" s="68">
        <f>'CO2 1990-2019'!E100/1000</f>
        <v>48.004538579802293</v>
      </c>
      <c r="D40" s="69">
        <f>'CH4 1990-2019'!E100/1000</f>
        <v>0.53088913019285489</v>
      </c>
      <c r="E40" s="69">
        <f>'N2O 1990-2019'!E101/1000</f>
        <v>2.3205006831574712E-2</v>
      </c>
      <c r="F40" s="2">
        <f t="shared" si="5"/>
        <v>14.864895645399937</v>
      </c>
      <c r="G40" s="2">
        <f t="shared" si="5"/>
        <v>6.1493268103672989</v>
      </c>
      <c r="H40" s="2">
        <f t="shared" si="6"/>
        <v>69.018761035569526</v>
      </c>
      <c r="I40" s="2"/>
      <c r="J40" s="2"/>
    </row>
    <row r="41" spans="2:33" x14ac:dyDescent="0.35">
      <c r="B41">
        <f t="shared" si="7"/>
        <v>2011</v>
      </c>
      <c r="C41" s="68">
        <f>'CO2 1990-2019'!E101/1000</f>
        <v>43.82620233701207</v>
      </c>
      <c r="D41" s="69">
        <f>'CH4 1990-2019'!E101/1000</f>
        <v>0.52067847685625956</v>
      </c>
      <c r="E41" s="69">
        <f>'N2O 1990-2019'!E102/1000</f>
        <v>2.1596923732384501E-2</v>
      </c>
      <c r="F41" s="2">
        <f t="shared" si="5"/>
        <v>14.578997351975268</v>
      </c>
      <c r="G41" s="2">
        <f t="shared" si="5"/>
        <v>5.723184789081893</v>
      </c>
      <c r="H41" s="2">
        <f t="shared" si="6"/>
        <v>64.128384478069222</v>
      </c>
      <c r="I41" s="2"/>
      <c r="J41" s="2"/>
    </row>
    <row r="42" spans="2:33" x14ac:dyDescent="0.35">
      <c r="B42">
        <f t="shared" si="7"/>
        <v>2012</v>
      </c>
      <c r="C42" s="68">
        <f>'CO2 1990-2019'!E102/1000</f>
        <v>43.046736237018365</v>
      </c>
      <c r="D42" s="69">
        <f>'CH4 1990-2019'!E102/1000</f>
        <v>0.54122860081163016</v>
      </c>
      <c r="E42" s="69">
        <f>'N2O 1990-2019'!E103/1000</f>
        <v>2.2350835962576289E-2</v>
      </c>
      <c r="F42" s="2">
        <f t="shared" si="5"/>
        <v>15.154400822725645</v>
      </c>
      <c r="G42" s="2">
        <f t="shared" si="5"/>
        <v>5.9229715300827168</v>
      </c>
      <c r="H42" s="2">
        <f t="shared" si="6"/>
        <v>64.124108589826733</v>
      </c>
      <c r="I42" s="2"/>
      <c r="J42" s="2"/>
      <c r="W42" s="82"/>
    </row>
    <row r="43" spans="2:33" x14ac:dyDescent="0.35">
      <c r="B43">
        <f t="shared" si="7"/>
        <v>2013</v>
      </c>
      <c r="C43" s="68">
        <f>'CO2 1990-2019'!E103/1000</f>
        <v>42.143034779693046</v>
      </c>
      <c r="D43" s="69">
        <f>'CH4 1990-2019'!E103/1000</f>
        <v>0.55563293823158555</v>
      </c>
      <c r="E43" s="69">
        <f>'N2O 1990-2019'!E104/1000</f>
        <v>2.3861676615019551E-2</v>
      </c>
      <c r="F43" s="2">
        <f t="shared" si="5"/>
        <v>15.557722270484396</v>
      </c>
      <c r="G43" s="2">
        <f t="shared" si="5"/>
        <v>6.323344302980181</v>
      </c>
      <c r="H43" s="2">
        <f t="shared" si="6"/>
        <v>64.024101353157619</v>
      </c>
      <c r="I43" s="2"/>
      <c r="J43" s="2"/>
      <c r="X43" s="2"/>
    </row>
    <row r="44" spans="2:33" x14ac:dyDescent="0.35">
      <c r="B44">
        <f t="shared" si="7"/>
        <v>2014</v>
      </c>
      <c r="C44" s="68">
        <f>'CO2 1990-2019'!E104/1000</f>
        <v>43.002058721298987</v>
      </c>
      <c r="D44" s="69">
        <f>'CH4 1990-2019'!E104/1000</f>
        <v>0.56469371673730473</v>
      </c>
      <c r="E44" s="69">
        <f>'N2O 1990-2019'!E105/1000</f>
        <v>2.3087068532383508E-2</v>
      </c>
      <c r="F44" s="2">
        <f t="shared" si="5"/>
        <v>15.811424068644532</v>
      </c>
      <c r="G44" s="2">
        <f t="shared" si="5"/>
        <v>6.1180731610816297</v>
      </c>
      <c r="H44" s="2">
        <f t="shared" si="6"/>
        <v>64.931555951025146</v>
      </c>
      <c r="I44" s="2"/>
      <c r="J44" s="2"/>
      <c r="X44" s="2"/>
    </row>
    <row r="45" spans="2:33" x14ac:dyDescent="0.35">
      <c r="B45">
        <f t="shared" si="7"/>
        <v>2015</v>
      </c>
      <c r="C45" s="68">
        <f>'CO2 1990-2019'!E105/1000</f>
        <v>44.636500221951238</v>
      </c>
      <c r="D45" s="69">
        <f>'CH4 1990-2019'!E105/1000</f>
        <v>0.57912274054536717</v>
      </c>
      <c r="E45" s="69">
        <f>'N2O 1990-2019'!E106/1000</f>
        <v>2.3139800195035771E-2</v>
      </c>
      <c r="F45" s="2">
        <f t="shared" si="5"/>
        <v>16.215436735270281</v>
      </c>
      <c r="G45" s="2">
        <f t="shared" si="5"/>
        <v>6.1320470516844789</v>
      </c>
      <c r="H45" s="2">
        <f t="shared" si="6"/>
        <v>66.983984008905992</v>
      </c>
      <c r="I45" s="2"/>
      <c r="J45" s="2"/>
      <c r="X45" s="2"/>
    </row>
    <row r="46" spans="2:33" x14ac:dyDescent="0.35">
      <c r="B46">
        <f t="shared" si="7"/>
        <v>2016</v>
      </c>
      <c r="C46" s="68">
        <f>'CO2 1990-2019'!E106/1000</f>
        <v>45.653374656401347</v>
      </c>
      <c r="D46" s="69">
        <f>'CH4 1990-2019'!E106/1000</f>
        <v>0.59326897730059025</v>
      </c>
      <c r="E46" s="69">
        <f>'N2O 1990-2019'!E107/1000</f>
        <v>2.3402918953505311E-2</v>
      </c>
      <c r="F46" s="2">
        <f t="shared" si="5"/>
        <v>16.611531364416528</v>
      </c>
      <c r="G46" s="2">
        <f t="shared" si="5"/>
        <v>6.2017735226789075</v>
      </c>
      <c r="H46" s="2">
        <f t="shared" si="6"/>
        <v>68.466679543496781</v>
      </c>
      <c r="I46" s="2"/>
      <c r="J46" s="2"/>
      <c r="X46" s="2"/>
    </row>
    <row r="47" spans="2:33" ht="43.5" x14ac:dyDescent="0.35">
      <c r="B47">
        <f t="shared" si="7"/>
        <v>2017</v>
      </c>
      <c r="C47" s="68">
        <f>'CO2 1990-2019'!E107/1000</f>
        <v>45.728105317317954</v>
      </c>
      <c r="D47" s="69">
        <f>'CH4 1990-2019'!E107/1000</f>
        <v>0.62003341514735055</v>
      </c>
      <c r="E47" s="69">
        <f>'N2O 1990-2019'!E108/1000</f>
        <v>2.4736923302581051E-2</v>
      </c>
      <c r="F47" s="2">
        <f t="shared" si="5"/>
        <v>17.360935624125815</v>
      </c>
      <c r="G47" s="2">
        <f t="shared" si="5"/>
        <v>6.5552846751839784</v>
      </c>
      <c r="H47" s="2">
        <f t="shared" si="6"/>
        <v>69.644325616627754</v>
      </c>
      <c r="I47" s="2"/>
      <c r="J47" s="2"/>
      <c r="K47" s="75" t="str">
        <f>K7</f>
        <v>% reduction GWP100</v>
      </c>
      <c r="L47" s="75"/>
      <c r="M47" s="75" t="s">
        <v>209</v>
      </c>
      <c r="N47" s="75" t="s">
        <v>210</v>
      </c>
      <c r="O47" s="75" t="s">
        <v>211</v>
      </c>
      <c r="Y47" t="s">
        <v>1</v>
      </c>
      <c r="Z47" t="s">
        <v>335</v>
      </c>
      <c r="AA47" t="s">
        <v>279</v>
      </c>
      <c r="AB47" t="s">
        <v>336</v>
      </c>
      <c r="AE47" t="s">
        <v>337</v>
      </c>
      <c r="AF47" t="s">
        <v>279</v>
      </c>
      <c r="AG47" t="s">
        <v>338</v>
      </c>
    </row>
    <row r="48" spans="2:33" x14ac:dyDescent="0.35">
      <c r="B48">
        <f t="shared" si="7"/>
        <v>2018</v>
      </c>
      <c r="C48" s="70">
        <f>'CO2 1990-2019'!E108/1000</f>
        <v>44.05311996590261</v>
      </c>
      <c r="D48" s="70">
        <f>AB48</f>
        <v>0.62362502085979499</v>
      </c>
      <c r="E48" s="71">
        <f>AG48</f>
        <v>2.5646912762990196E-2</v>
      </c>
      <c r="F48" s="70">
        <f t="shared" si="5"/>
        <v>17.461500584074258</v>
      </c>
      <c r="G48" s="70">
        <f t="shared" si="5"/>
        <v>6.7964318821924019</v>
      </c>
      <c r="H48" s="70">
        <f t="shared" si="6"/>
        <v>68.311052432169276</v>
      </c>
      <c r="I48" s="70"/>
      <c r="J48" s="70"/>
      <c r="K48" s="74">
        <f t="shared" ref="K48:K90" si="8">1-H48/H$48</f>
        <v>0</v>
      </c>
      <c r="L48" s="73"/>
      <c r="M48" s="3">
        <f t="shared" ref="M48:M90" si="9">1-C48/C$48</f>
        <v>0</v>
      </c>
      <c r="N48" s="3">
        <f t="shared" ref="N48:N90" si="10">1-D48/D$48</f>
        <v>0</v>
      </c>
      <c r="O48" s="3">
        <f t="shared" ref="O48:O90" si="11">1-E48/E$48</f>
        <v>0</v>
      </c>
      <c r="Y48">
        <f>B48</f>
        <v>2018</v>
      </c>
      <c r="Z48" s="130">
        <f>'CH4 1990-2019'!D108/1000</f>
        <v>0.60557344778995981</v>
      </c>
      <c r="AA48" s="130">
        <f>'LULUCF Models'!S2/1000</f>
        <v>1.8051573069835136E-2</v>
      </c>
      <c r="AB48" s="130">
        <f>SUM(Z48:AA48)</f>
        <v>0.62362502085979499</v>
      </c>
      <c r="AE48">
        <f>'N2O 1990-2019'!D109/1000</f>
        <v>2.434199193708618E-2</v>
      </c>
      <c r="AF48">
        <f>'LULUCF Models'!T2/1000</f>
        <v>1.3049208259040157E-3</v>
      </c>
      <c r="AG48">
        <f>SUM(AE48:AF48)</f>
        <v>2.5646912762990196E-2</v>
      </c>
    </row>
    <row r="49" spans="2:33" x14ac:dyDescent="0.35">
      <c r="B49">
        <f t="shared" si="7"/>
        <v>2019</v>
      </c>
      <c r="C49" s="68">
        <f>'CO2 1990-2019'!E109/1000</f>
        <v>41.81151164486662</v>
      </c>
      <c r="D49" s="80">
        <f t="shared" ref="D49:D60" si="12">AB49</f>
        <v>0.60727248931136102</v>
      </c>
      <c r="E49" s="80">
        <f t="shared" ref="E49:E60" si="13">AG49</f>
        <v>2.4309378074883786E-2</v>
      </c>
      <c r="F49" s="2">
        <f t="shared" si="5"/>
        <v>17.003629700718108</v>
      </c>
      <c r="G49" s="2">
        <f t="shared" si="5"/>
        <v>6.4419851898442033</v>
      </c>
      <c r="H49" s="2">
        <f>SUM(F49:G49)+C49</f>
        <v>65.257126535428938</v>
      </c>
      <c r="I49" s="2"/>
      <c r="J49" s="2"/>
      <c r="K49" s="74">
        <f t="shared" si="8"/>
        <v>4.4706175472450704E-2</v>
      </c>
      <c r="L49" s="73"/>
      <c r="M49" s="3">
        <f t="shared" si="9"/>
        <v>5.0884212577247845E-2</v>
      </c>
      <c r="N49" s="3">
        <f t="shared" si="10"/>
        <v>2.6221737424660496E-2</v>
      </c>
      <c r="O49" s="3">
        <f t="shared" si="11"/>
        <v>5.215187888175532E-2</v>
      </c>
      <c r="Y49">
        <f t="shared" ref="Y49:Y60" si="14">B49</f>
        <v>2019</v>
      </c>
      <c r="Z49" s="130">
        <f>'CH4 1990-2019'!D109/1000</f>
        <v>0.58922091624152584</v>
      </c>
      <c r="AA49" s="130">
        <f>'LULUCF Models'!S3/1000</f>
        <v>1.8051573069835136E-2</v>
      </c>
      <c r="AB49" s="130">
        <f>SUM(Z49:AA49)</f>
        <v>0.60727248931136102</v>
      </c>
      <c r="AE49">
        <f>'N2O 1990-2019'!D110/1000</f>
        <v>2.300445724897977E-2</v>
      </c>
      <c r="AF49">
        <f>'LULUCF Models'!T3/1000</f>
        <v>1.3049208259040157E-3</v>
      </c>
      <c r="AG49">
        <f>SUM(AE49:AF49)</f>
        <v>2.4309378074883786E-2</v>
      </c>
    </row>
    <row r="50" spans="2:33" x14ac:dyDescent="0.35">
      <c r="B50">
        <f t="shared" si="7"/>
        <v>2020</v>
      </c>
      <c r="C50" s="79">
        <f t="shared" ref="C50:C51" si="15">C49</f>
        <v>41.81151164486662</v>
      </c>
      <c r="D50" s="80">
        <f t="shared" si="12"/>
        <v>0.60563517202162709</v>
      </c>
      <c r="E50" s="80">
        <f t="shared" si="13"/>
        <v>2.4191018892461238E-2</v>
      </c>
      <c r="F50" s="2">
        <f t="shared" si="5"/>
        <v>16.95778481660556</v>
      </c>
      <c r="G50" s="2">
        <f t="shared" si="5"/>
        <v>6.4106200065022279</v>
      </c>
      <c r="H50" s="2">
        <f t="shared" si="6"/>
        <v>65.179916467974408</v>
      </c>
      <c r="I50" s="2"/>
      <c r="J50" s="2"/>
      <c r="K50" s="74">
        <f t="shared" si="8"/>
        <v>4.5836447437316075E-2</v>
      </c>
      <c r="L50" s="73"/>
      <c r="M50" s="3">
        <f t="shared" si="9"/>
        <v>5.0884212577247845E-2</v>
      </c>
      <c r="N50" s="3">
        <f t="shared" si="10"/>
        <v>2.8847221064615458E-2</v>
      </c>
      <c r="O50" s="3">
        <f t="shared" si="11"/>
        <v>5.6766827414404752E-2</v>
      </c>
      <c r="P50" s="3">
        <f>M50</f>
        <v>5.0884212577247845E-2</v>
      </c>
      <c r="Q50" s="3">
        <f t="shared" ref="Q50:R50" si="16">N50</f>
        <v>2.8847221064615458E-2</v>
      </c>
      <c r="R50" s="3">
        <f t="shared" si="16"/>
        <v>5.6766827414404752E-2</v>
      </c>
      <c r="S50" s="3">
        <f>K50</f>
        <v>4.5836447437316075E-2</v>
      </c>
      <c r="T50" s="3"/>
      <c r="Y50">
        <f t="shared" si="14"/>
        <v>2020</v>
      </c>
      <c r="Z50" s="130">
        <f>Z49</f>
        <v>0.58922091624152584</v>
      </c>
      <c r="AA50" s="130">
        <f>'LULUCF Models'!S4/1000</f>
        <v>1.6414255780101205E-2</v>
      </c>
      <c r="AB50" s="130">
        <f>SUM(Z50:AA50)</f>
        <v>0.60563517202162709</v>
      </c>
      <c r="AE50" s="130">
        <f>AE49</f>
        <v>2.300445724897977E-2</v>
      </c>
      <c r="AF50">
        <f>'LULUCF Models'!T4/1000</f>
        <v>1.1865616434814702E-3</v>
      </c>
      <c r="AG50">
        <f t="shared" ref="AG50:AG60" si="17">SUM(AE50:AF50)</f>
        <v>2.4191018892461238E-2</v>
      </c>
    </row>
    <row r="51" spans="2:33" x14ac:dyDescent="0.35">
      <c r="B51">
        <f t="shared" si="7"/>
        <v>2021</v>
      </c>
      <c r="C51" s="79">
        <f t="shared" si="15"/>
        <v>41.81151164486662</v>
      </c>
      <c r="D51" s="80">
        <f t="shared" si="12"/>
        <v>0.60698426400733474</v>
      </c>
      <c r="E51" s="80">
        <f t="shared" si="13"/>
        <v>2.4288542705006529E-2</v>
      </c>
      <c r="F51" s="2">
        <f t="shared" si="5"/>
        <v>16.995559392205372</v>
      </c>
      <c r="G51" s="2">
        <f t="shared" si="5"/>
        <v>6.4364638168267305</v>
      </c>
      <c r="H51" s="2">
        <f t="shared" si="6"/>
        <v>65.243534853898723</v>
      </c>
      <c r="I51" s="2"/>
      <c r="J51" s="2"/>
      <c r="K51" s="74">
        <f t="shared" si="8"/>
        <v>4.4905143004735582E-2</v>
      </c>
      <c r="L51" s="73"/>
      <c r="M51" s="3">
        <f t="shared" si="9"/>
        <v>5.0884212577247845E-2</v>
      </c>
      <c r="N51" s="3">
        <f t="shared" si="10"/>
        <v>2.6683914685651233E-2</v>
      </c>
      <c r="O51" s="3">
        <f t="shared" si="11"/>
        <v>5.2964271783380701E-2</v>
      </c>
      <c r="Y51">
        <f t="shared" si="14"/>
        <v>2021</v>
      </c>
      <c r="Z51" s="130">
        <f t="shared" ref="Z51" si="18">Z50</f>
        <v>0.58922091624152584</v>
      </c>
      <c r="AA51" s="130">
        <f>'LULUCF Models'!S5/1000</f>
        <v>1.7763347765808922E-2</v>
      </c>
      <c r="AB51" s="130">
        <f t="shared" ref="AB51:AB60" si="19">SUM(Z51:AA51)</f>
        <v>0.60698426400733474</v>
      </c>
      <c r="AE51" s="130">
        <f t="shared" ref="AE51" si="20">AE50</f>
        <v>2.300445724897977E-2</v>
      </c>
      <c r="AF51">
        <f>'LULUCF Models'!T5/1000</f>
        <v>1.2840854560267601E-3</v>
      </c>
      <c r="AG51">
        <f t="shared" si="17"/>
        <v>2.4288542705006529E-2</v>
      </c>
    </row>
    <row r="52" spans="2:33" x14ac:dyDescent="0.35">
      <c r="B52">
        <f t="shared" si="7"/>
        <v>2022</v>
      </c>
      <c r="C52" s="79">
        <f>C51-C$2</f>
        <v>38.683173372040308</v>
      </c>
      <c r="D52" s="80">
        <f t="shared" si="12"/>
        <v>0.59576548747047564</v>
      </c>
      <c r="E52" s="80">
        <f t="shared" si="13"/>
        <v>2.3894301464913198E-2</v>
      </c>
      <c r="F52" s="2">
        <f t="shared" si="5"/>
        <v>16.681433649173318</v>
      </c>
      <c r="G52" s="2">
        <f t="shared" si="5"/>
        <v>6.3319898882019974</v>
      </c>
      <c r="H52" s="2">
        <f t="shared" si="6"/>
        <v>61.696596909415625</v>
      </c>
      <c r="I52" s="2"/>
      <c r="J52" s="2"/>
      <c r="K52" s="74">
        <f t="shared" si="8"/>
        <v>9.682848217455875E-2</v>
      </c>
      <c r="L52" s="73"/>
      <c r="M52" s="3">
        <f t="shared" si="9"/>
        <v>0.12189707784644255</v>
      </c>
      <c r="N52" s="3">
        <f t="shared" si="10"/>
        <v>4.4673533706055091E-2</v>
      </c>
      <c r="O52" s="3">
        <f t="shared" si="11"/>
        <v>6.8336150798083861E-2</v>
      </c>
      <c r="Y52">
        <f t="shared" si="14"/>
        <v>2022</v>
      </c>
      <c r="Z52" s="97">
        <f>Z51-Z$2</f>
        <v>0.57858996554233599</v>
      </c>
      <c r="AA52" s="130">
        <f>'LULUCF Models'!S6/1000</f>
        <v>1.7175521928139651E-2</v>
      </c>
      <c r="AB52" s="130">
        <f t="shared" si="19"/>
        <v>0.59576548747047564</v>
      </c>
      <c r="AE52" s="97">
        <f>AE51-AE$2</f>
        <v>2.2652709046729266E-2</v>
      </c>
      <c r="AF52">
        <f>'LULUCF Models'!T6/1000</f>
        <v>1.2415924181839303E-3</v>
      </c>
      <c r="AG52">
        <f t="shared" si="17"/>
        <v>2.3894301464913198E-2</v>
      </c>
    </row>
    <row r="53" spans="2:33" x14ac:dyDescent="0.35">
      <c r="B53">
        <f t="shared" si="7"/>
        <v>2023</v>
      </c>
      <c r="C53" s="79">
        <f t="shared" ref="C53:C60" si="21">C52-C$2</f>
        <v>35.554835099213996</v>
      </c>
      <c r="D53" s="80">
        <f t="shared" si="12"/>
        <v>0.59050330463999468</v>
      </c>
      <c r="E53" s="80">
        <f t="shared" si="13"/>
        <v>2.3930653345365708E-2</v>
      </c>
      <c r="F53" s="2">
        <f t="shared" si="5"/>
        <v>16.53409252991985</v>
      </c>
      <c r="G53" s="2">
        <f t="shared" si="5"/>
        <v>6.3416231365219122</v>
      </c>
      <c r="H53" s="2">
        <f t="shared" si="6"/>
        <v>58.430550765655759</v>
      </c>
      <c r="I53" s="2"/>
      <c r="J53" s="2"/>
      <c r="K53" s="74">
        <f t="shared" si="8"/>
        <v>0.14463986887516544</v>
      </c>
      <c r="L53" s="73"/>
      <c r="M53" s="3">
        <f t="shared" si="9"/>
        <v>0.19290994311563725</v>
      </c>
      <c r="N53" s="3">
        <f t="shared" si="10"/>
        <v>5.3111589676333448E-2</v>
      </c>
      <c r="O53" s="3">
        <f t="shared" si="11"/>
        <v>6.6918752891815481E-2</v>
      </c>
      <c r="Y53">
        <f t="shared" si="14"/>
        <v>2023</v>
      </c>
      <c r="Z53" s="97">
        <f t="shared" ref="Z53:Z60" si="22">Z52-Z$2</f>
        <v>0.56795901484314615</v>
      </c>
      <c r="AA53" s="130">
        <f>'LULUCF Models'!S7/1000</f>
        <v>2.2544289796848513E-2</v>
      </c>
      <c r="AB53" s="130">
        <f t="shared" si="19"/>
        <v>0.59050330463999468</v>
      </c>
      <c r="AE53" s="97">
        <f t="shared" ref="AE53:AE60" si="23">AE52-AE$2</f>
        <v>2.2300960844478763E-2</v>
      </c>
      <c r="AF53">
        <f>'LULUCF Models'!T7/1000</f>
        <v>1.6296925008869442E-3</v>
      </c>
      <c r="AG53">
        <f t="shared" si="17"/>
        <v>2.3930653345365708E-2</v>
      </c>
    </row>
    <row r="54" spans="2:33" x14ac:dyDescent="0.35">
      <c r="B54">
        <f t="shared" si="7"/>
        <v>2024</v>
      </c>
      <c r="C54" s="79">
        <f t="shared" si="21"/>
        <v>32.426496826387684</v>
      </c>
      <c r="D54" s="80">
        <f t="shared" si="12"/>
        <v>0.57470801978190822</v>
      </c>
      <c r="E54" s="80">
        <f t="shared" si="13"/>
        <v>2.3205583263088417E-2</v>
      </c>
      <c r="F54" s="2">
        <f t="shared" si="5"/>
        <v>16.091824553893431</v>
      </c>
      <c r="G54" s="2">
        <f t="shared" si="5"/>
        <v>6.1494795647184306</v>
      </c>
      <c r="H54" s="2">
        <f t="shared" si="6"/>
        <v>54.667800944999541</v>
      </c>
      <c r="I54" s="2"/>
      <c r="J54" s="2"/>
      <c r="K54" s="74">
        <f t="shared" si="8"/>
        <v>0.19972246073528221</v>
      </c>
      <c r="L54" s="73"/>
      <c r="M54" s="3">
        <f t="shared" si="9"/>
        <v>0.26392280838483184</v>
      </c>
      <c r="N54" s="3">
        <f t="shared" si="10"/>
        <v>7.8439766593143778E-2</v>
      </c>
      <c r="O54" s="3">
        <f t="shared" si="11"/>
        <v>9.5189995086845003E-2</v>
      </c>
      <c r="X54" s="75"/>
      <c r="Y54">
        <f t="shared" si="14"/>
        <v>2024</v>
      </c>
      <c r="Z54" s="97">
        <f t="shared" si="22"/>
        <v>0.5573280641439563</v>
      </c>
      <c r="AA54" s="130">
        <f>'LULUCF Models'!S8/1000</f>
        <v>1.7379955637951871E-2</v>
      </c>
      <c r="AB54" s="130">
        <f t="shared" si="19"/>
        <v>0.57470801978190822</v>
      </c>
      <c r="AE54" s="97">
        <f t="shared" si="23"/>
        <v>2.1949212642228259E-2</v>
      </c>
      <c r="AF54">
        <f>'LULUCF Models'!T8/1000</f>
        <v>1.2563706208601594E-3</v>
      </c>
      <c r="AG54">
        <f t="shared" si="17"/>
        <v>2.3205583263088417E-2</v>
      </c>
    </row>
    <row r="55" spans="2:33" x14ac:dyDescent="0.35">
      <c r="B55">
        <f t="shared" si="7"/>
        <v>2025</v>
      </c>
      <c r="C55" s="79">
        <f t="shared" si="21"/>
        <v>29.298158553561372</v>
      </c>
      <c r="D55" s="80">
        <f t="shared" si="12"/>
        <v>0.56326176281703599</v>
      </c>
      <c r="E55" s="80">
        <f t="shared" si="13"/>
        <v>2.2794897808031025E-2</v>
      </c>
      <c r="F55" s="2">
        <f t="shared" si="5"/>
        <v>15.771329358877008</v>
      </c>
      <c r="G55" s="2">
        <f t="shared" si="5"/>
        <v>6.0406479191282214</v>
      </c>
      <c r="H55" s="2">
        <f t="shared" si="6"/>
        <v>51.110135831566602</v>
      </c>
      <c r="I55" s="2"/>
      <c r="J55" s="2"/>
      <c r="K55" s="74">
        <f t="shared" si="8"/>
        <v>0.25180283406821524</v>
      </c>
      <c r="L55" s="73"/>
      <c r="M55" s="3">
        <f t="shared" si="9"/>
        <v>0.33493567365402654</v>
      </c>
      <c r="N55" s="3">
        <f t="shared" si="10"/>
        <v>9.6794156782766483E-2</v>
      </c>
      <c r="O55" s="3">
        <f t="shared" si="11"/>
        <v>0.11120305127230645</v>
      </c>
      <c r="P55" s="3">
        <f>M55</f>
        <v>0.33493567365402654</v>
      </c>
      <c r="Q55" s="3">
        <f t="shared" ref="Q55:R55" si="24">N55</f>
        <v>9.6794156782766483E-2</v>
      </c>
      <c r="R55" s="3">
        <f t="shared" si="24"/>
        <v>0.11120305127230645</v>
      </c>
      <c r="S55" s="3">
        <f>K55</f>
        <v>0.25180283406821524</v>
      </c>
      <c r="T55" s="3"/>
      <c r="X55" s="75"/>
      <c r="Y55">
        <f t="shared" si="14"/>
        <v>2025</v>
      </c>
      <c r="Z55" s="97">
        <f t="shared" si="22"/>
        <v>0.54669711344476646</v>
      </c>
      <c r="AA55" s="130">
        <f>'LULUCF Models'!S9/1000</f>
        <v>1.6564649372269504E-2</v>
      </c>
      <c r="AB55" s="130">
        <f t="shared" si="19"/>
        <v>0.56326176281703599</v>
      </c>
      <c r="AE55" s="97">
        <f t="shared" si="23"/>
        <v>2.1597464439977756E-2</v>
      </c>
      <c r="AF55">
        <f>'LULUCF Models'!T9/1000</f>
        <v>1.1974333680532679E-3</v>
      </c>
      <c r="AG55">
        <f t="shared" si="17"/>
        <v>2.2794897808031025E-2</v>
      </c>
    </row>
    <row r="56" spans="2:33" x14ac:dyDescent="0.35">
      <c r="B56">
        <f t="shared" si="7"/>
        <v>2026</v>
      </c>
      <c r="C56" s="79">
        <f t="shared" si="21"/>
        <v>26.16982028073506</v>
      </c>
      <c r="D56" s="80">
        <f t="shared" si="12"/>
        <v>0.54752425580502107</v>
      </c>
      <c r="E56" s="80">
        <f t="shared" si="13"/>
        <v>2.2074004398574602E-2</v>
      </c>
      <c r="F56" s="2">
        <f t="shared" si="5"/>
        <v>15.330679162540591</v>
      </c>
      <c r="G56" s="2">
        <f t="shared" si="5"/>
        <v>5.8496111656222691</v>
      </c>
      <c r="H56" s="2">
        <f t="shared" si="6"/>
        <v>47.350110608897921</v>
      </c>
      <c r="I56" s="2"/>
      <c r="J56" s="2"/>
      <c r="K56" s="74">
        <f t="shared" si="8"/>
        <v>0.30684554075762349</v>
      </c>
      <c r="L56" s="73"/>
      <c r="M56" s="3">
        <f t="shared" si="9"/>
        <v>0.40594853892322125</v>
      </c>
      <c r="N56" s="3">
        <f t="shared" si="10"/>
        <v>0.12202968532252512</v>
      </c>
      <c r="O56" s="3">
        <f t="shared" si="11"/>
        <v>0.13931144061797118</v>
      </c>
      <c r="P56" s="3"/>
      <c r="Q56" s="3"/>
      <c r="R56" s="3"/>
      <c r="X56" s="75"/>
      <c r="Y56">
        <f t="shared" si="14"/>
        <v>2026</v>
      </c>
      <c r="Z56" s="97">
        <f t="shared" si="22"/>
        <v>0.53606616274557661</v>
      </c>
      <c r="AA56" s="130">
        <f>'LULUCF Models'!S10/1000</f>
        <v>1.1458093059444422E-2</v>
      </c>
      <c r="AB56" s="130">
        <f t="shared" si="19"/>
        <v>0.54752425580502107</v>
      </c>
      <c r="AE56" s="97">
        <f t="shared" si="23"/>
        <v>2.1245716237727252E-2</v>
      </c>
      <c r="AF56">
        <f>'LULUCF Models'!T10/1000</f>
        <v>8.2828816084734938E-4</v>
      </c>
      <c r="AG56">
        <f t="shared" si="17"/>
        <v>2.2074004398574602E-2</v>
      </c>
    </row>
    <row r="57" spans="2:33" x14ac:dyDescent="0.35">
      <c r="B57">
        <f t="shared" si="7"/>
        <v>2027</v>
      </c>
      <c r="C57" s="79">
        <f t="shared" si="21"/>
        <v>23.041482007908748</v>
      </c>
      <c r="D57" s="80">
        <f t="shared" si="12"/>
        <v>0.53649649119382015</v>
      </c>
      <c r="E57" s="80">
        <f t="shared" si="13"/>
        <v>2.1693571120747115E-2</v>
      </c>
      <c r="F57" s="2">
        <f t="shared" si="5"/>
        <v>15.021901753426963</v>
      </c>
      <c r="G57" s="2">
        <f t="shared" si="5"/>
        <v>5.7487963469979855</v>
      </c>
      <c r="H57" s="2">
        <f t="shared" si="6"/>
        <v>43.812180108333692</v>
      </c>
      <c r="I57" s="2"/>
      <c r="J57" s="2"/>
      <c r="K57" s="74">
        <f t="shared" si="8"/>
        <v>0.35863702068068992</v>
      </c>
      <c r="L57" s="73"/>
      <c r="M57" s="3">
        <f t="shared" si="9"/>
        <v>0.47696140419241595</v>
      </c>
      <c r="N57" s="3">
        <f t="shared" si="10"/>
        <v>0.139713011427685</v>
      </c>
      <c r="O57" s="3">
        <f t="shared" si="11"/>
        <v>0.15414493271673446</v>
      </c>
      <c r="X57" s="75"/>
      <c r="Y57">
        <f t="shared" si="14"/>
        <v>2027</v>
      </c>
      <c r="Z57" s="97">
        <f t="shared" si="22"/>
        <v>0.52543521204638677</v>
      </c>
      <c r="AA57" s="130">
        <f>'LULUCF Models'!S11/1000</f>
        <v>1.1061279147433366E-2</v>
      </c>
      <c r="AB57" s="130">
        <f t="shared" si="19"/>
        <v>0.53649649119382015</v>
      </c>
      <c r="AE57" s="97">
        <f t="shared" si="23"/>
        <v>2.0893968035476749E-2</v>
      </c>
      <c r="AF57">
        <f>'LULUCF Models'!T11/1000</f>
        <v>7.9960308527036528E-4</v>
      </c>
      <c r="AG57">
        <f t="shared" si="17"/>
        <v>2.1693571120747115E-2</v>
      </c>
    </row>
    <row r="58" spans="2:33" x14ac:dyDescent="0.35">
      <c r="B58">
        <f t="shared" si="7"/>
        <v>2028</v>
      </c>
      <c r="C58" s="79">
        <f t="shared" si="21"/>
        <v>19.913143735082436</v>
      </c>
      <c r="D58" s="80">
        <f t="shared" si="12"/>
        <v>0.5239417908677142</v>
      </c>
      <c r="E58" s="80">
        <f t="shared" si="13"/>
        <v>2.1202757977049336E-2</v>
      </c>
      <c r="F58" s="2">
        <f t="shared" si="5"/>
        <v>14.670370144295998</v>
      </c>
      <c r="G58" s="2">
        <f t="shared" si="5"/>
        <v>5.6187308639180742</v>
      </c>
      <c r="H58" s="2">
        <f t="shared" si="6"/>
        <v>40.202244743296504</v>
      </c>
      <c r="I58" s="2"/>
      <c r="J58" s="2"/>
      <c r="K58" s="74">
        <f t="shared" si="8"/>
        <v>0.41148257402100386</v>
      </c>
      <c r="L58" s="73"/>
      <c r="M58" s="3">
        <f t="shared" si="9"/>
        <v>0.54797426946161054</v>
      </c>
      <c r="N58" s="3">
        <f t="shared" si="10"/>
        <v>0.1598448212591711</v>
      </c>
      <c r="O58" s="3">
        <f t="shared" si="11"/>
        <v>0.17328225143550224</v>
      </c>
      <c r="R58" s="2"/>
      <c r="Y58">
        <f t="shared" si="14"/>
        <v>2028</v>
      </c>
      <c r="Z58" s="97">
        <f t="shared" si="22"/>
        <v>0.51480426134719692</v>
      </c>
      <c r="AA58" s="130">
        <f>'LULUCF Models'!S12/1000</f>
        <v>9.1375295205173082E-3</v>
      </c>
      <c r="AB58" s="130">
        <f t="shared" si="19"/>
        <v>0.5239417908677142</v>
      </c>
      <c r="AE58" s="97">
        <f t="shared" si="23"/>
        <v>2.0542219833226245E-2</v>
      </c>
      <c r="AF58">
        <f>'LULUCF Models'!T12/1000</f>
        <v>6.6053814382308941E-4</v>
      </c>
      <c r="AG58">
        <f t="shared" si="17"/>
        <v>2.1202757977049336E-2</v>
      </c>
    </row>
    <row r="59" spans="2:33" x14ac:dyDescent="0.35">
      <c r="B59">
        <f t="shared" si="7"/>
        <v>2029</v>
      </c>
      <c r="C59" s="79">
        <f t="shared" si="21"/>
        <v>16.784805462256124</v>
      </c>
      <c r="D59" s="80">
        <f t="shared" si="12"/>
        <v>0.51221251374627752</v>
      </c>
      <c r="E59" s="80">
        <f t="shared" si="13"/>
        <v>2.0771613424326443E-2</v>
      </c>
      <c r="F59" s="2">
        <f t="shared" si="5"/>
        <v>14.341950384895771</v>
      </c>
      <c r="G59" s="2">
        <f t="shared" si="5"/>
        <v>5.5044775574465072</v>
      </c>
      <c r="H59" s="2">
        <f t="shared" si="6"/>
        <v>36.631233404598404</v>
      </c>
      <c r="I59" s="2"/>
      <c r="J59" s="2"/>
      <c r="K59" s="74">
        <f t="shared" si="8"/>
        <v>0.46375832167170805</v>
      </c>
      <c r="L59" s="73"/>
      <c r="M59" s="3">
        <f t="shared" si="9"/>
        <v>0.61898713473080524</v>
      </c>
      <c r="N59" s="3">
        <f t="shared" si="10"/>
        <v>0.17865304211160815</v>
      </c>
      <c r="O59" s="3">
        <f t="shared" si="11"/>
        <v>0.19009302927481619</v>
      </c>
      <c r="R59" s="2"/>
      <c r="X59" s="75"/>
      <c r="Y59">
        <f t="shared" si="14"/>
        <v>2029</v>
      </c>
      <c r="Z59" s="97">
        <f t="shared" si="22"/>
        <v>0.50417331064800708</v>
      </c>
      <c r="AA59" s="130">
        <f>'LULUCF Models'!S13/1000</f>
        <v>8.039203098270456E-3</v>
      </c>
      <c r="AB59" s="130">
        <f t="shared" si="19"/>
        <v>0.51221251374627752</v>
      </c>
      <c r="AE59" s="97">
        <f t="shared" si="23"/>
        <v>2.0190471630975742E-2</v>
      </c>
      <c r="AF59">
        <f>'LULUCF Models'!T13/1000</f>
        <v>5.8114179335070075E-4</v>
      </c>
      <c r="AG59">
        <f t="shared" si="17"/>
        <v>2.0771613424326443E-2</v>
      </c>
    </row>
    <row r="60" spans="2:33" x14ac:dyDescent="0.35">
      <c r="B60">
        <f t="shared" si="7"/>
        <v>2030</v>
      </c>
      <c r="C60" s="70">
        <f t="shared" si="21"/>
        <v>13.656467189429812</v>
      </c>
      <c r="D60" s="80">
        <f t="shared" si="12"/>
        <v>0.50239306827912533</v>
      </c>
      <c r="E60" s="80">
        <f t="shared" si="13"/>
        <v>2.0478527703928308E-2</v>
      </c>
      <c r="F60" s="70">
        <f t="shared" si="5"/>
        <v>14.06700591181551</v>
      </c>
      <c r="G60" s="70">
        <f t="shared" si="5"/>
        <v>5.4268098415410018</v>
      </c>
      <c r="H60" s="70">
        <f t="shared" si="6"/>
        <v>33.150282942786319</v>
      </c>
      <c r="I60" s="70"/>
      <c r="J60" s="70"/>
      <c r="K60" s="83">
        <f t="shared" si="8"/>
        <v>0.5147156753923019</v>
      </c>
      <c r="L60" s="73"/>
      <c r="M60" s="72">
        <f t="shared" si="9"/>
        <v>0.69</v>
      </c>
      <c r="N60" s="72">
        <f t="shared" si="10"/>
        <v>0.19439879498985868</v>
      </c>
      <c r="O60" s="72">
        <f t="shared" si="11"/>
        <v>0.20152074859162505</v>
      </c>
      <c r="P60" s="3">
        <f>M60</f>
        <v>0.69</v>
      </c>
      <c r="Q60" s="3">
        <f t="shared" ref="Q60:R60" si="25">N60</f>
        <v>0.19439879498985868</v>
      </c>
      <c r="R60" s="3">
        <f t="shared" si="25"/>
        <v>0.20152074859162505</v>
      </c>
      <c r="S60" s="3">
        <f>K60</f>
        <v>0.5147156753923019</v>
      </c>
      <c r="T60" s="3"/>
      <c r="X60" s="75"/>
      <c r="Y60">
        <f t="shared" si="14"/>
        <v>2030</v>
      </c>
      <c r="Z60" s="97">
        <f t="shared" si="22"/>
        <v>0.49354235994881723</v>
      </c>
      <c r="AA60" s="130">
        <f>'LULUCF Models'!S14/1000</f>
        <v>8.8507083303080592E-3</v>
      </c>
      <c r="AB60" s="130">
        <f t="shared" si="19"/>
        <v>0.50239306827912533</v>
      </c>
      <c r="AE60" s="97">
        <f t="shared" si="23"/>
        <v>1.9838723428725238E-2</v>
      </c>
      <c r="AF60">
        <f>'LULUCF Models'!T14/1000</f>
        <v>6.3980427520307095E-4</v>
      </c>
      <c r="AG60">
        <f t="shared" si="17"/>
        <v>2.0478527703928308E-2</v>
      </c>
    </row>
    <row r="61" spans="2:33" x14ac:dyDescent="0.35">
      <c r="B61">
        <f t="shared" si="7"/>
        <v>2031</v>
      </c>
      <c r="C61" s="2">
        <f>C60-C$3</f>
        <v>12.973643829958322</v>
      </c>
      <c r="D61" s="1">
        <f>D60*(1+I$1)</f>
        <v>0.50239306827912533</v>
      </c>
      <c r="E61" s="2">
        <f>E60*(1+I$1)</f>
        <v>2.0478527703928308E-2</v>
      </c>
      <c r="F61" s="2">
        <f t="shared" ref="F61:G76" si="26">D61*F$5</f>
        <v>14.06700591181551</v>
      </c>
      <c r="G61" s="2">
        <f t="shared" si="26"/>
        <v>5.4268098415410018</v>
      </c>
      <c r="H61" s="2">
        <f>SUM(F61:G61)+C61+U61</f>
        <v>32.196119091237783</v>
      </c>
      <c r="I61" s="2"/>
      <c r="J61" s="2"/>
      <c r="K61" s="74">
        <f t="shared" si="8"/>
        <v>0.52868360323964392</v>
      </c>
      <c r="L61" s="73"/>
      <c r="M61" s="3">
        <f t="shared" si="9"/>
        <v>0.7054999999999999</v>
      </c>
      <c r="N61" s="3">
        <f t="shared" si="10"/>
        <v>0.19439879498985868</v>
      </c>
      <c r="O61" s="3">
        <f t="shared" si="11"/>
        <v>0.20152074859162505</v>
      </c>
      <c r="U61" s="2">
        <f>U60+$A$79</f>
        <v>-0.27134049207705008</v>
      </c>
      <c r="V61" s="2">
        <f>U61</f>
        <v>-0.27134049207705008</v>
      </c>
    </row>
    <row r="62" spans="2:33" x14ac:dyDescent="0.35">
      <c r="B62">
        <f t="shared" si="7"/>
        <v>2032</v>
      </c>
      <c r="C62" s="2">
        <f t="shared" ref="C62:C80" si="27">C61-C$3</f>
        <v>12.290820470486832</v>
      </c>
      <c r="D62" s="1">
        <f>D61*(1+I$1)</f>
        <v>0.50239306827912533</v>
      </c>
      <c r="E62" s="2">
        <f t="shared" ref="E62:E90" si="28">E61*(1+I$1)</f>
        <v>2.0478527703928308E-2</v>
      </c>
      <c r="F62" s="2">
        <f t="shared" si="26"/>
        <v>14.06700591181551</v>
      </c>
      <c r="G62" s="2">
        <f t="shared" si="26"/>
        <v>5.4268098415410018</v>
      </c>
      <c r="H62" s="2">
        <f t="shared" ref="H62:H90" si="29">SUM(F62:G62)+C62+U62</f>
        <v>31.241955239689243</v>
      </c>
      <c r="I62" s="2"/>
      <c r="J62" s="2"/>
      <c r="K62" s="74">
        <f t="shared" si="8"/>
        <v>0.54265153108698594</v>
      </c>
      <c r="L62" s="73"/>
      <c r="M62" s="3">
        <f t="shared" si="9"/>
        <v>0.72099999999999986</v>
      </c>
      <c r="N62" s="3">
        <f t="shared" si="10"/>
        <v>0.19439879498985868</v>
      </c>
      <c r="O62" s="3">
        <f t="shared" si="11"/>
        <v>0.20152074859162505</v>
      </c>
      <c r="U62" s="2">
        <f>U61+$A$79</f>
        <v>-0.54268098415410015</v>
      </c>
      <c r="V62" s="2">
        <f>U62+V61</f>
        <v>-0.81402147623115018</v>
      </c>
    </row>
    <row r="63" spans="2:33" x14ac:dyDescent="0.35">
      <c r="B63">
        <f t="shared" si="7"/>
        <v>2033</v>
      </c>
      <c r="C63" s="2">
        <f t="shared" si="27"/>
        <v>11.607997111015342</v>
      </c>
      <c r="D63" s="1">
        <f t="shared" ref="D63:D90" si="30">D62*(1+I$1)</f>
        <v>0.50239306827912533</v>
      </c>
      <c r="E63" s="2">
        <f t="shared" si="28"/>
        <v>2.0478527703928308E-2</v>
      </c>
      <c r="F63" s="2">
        <f t="shared" si="26"/>
        <v>14.06700591181551</v>
      </c>
      <c r="G63" s="2">
        <f t="shared" si="26"/>
        <v>5.4268098415410018</v>
      </c>
      <c r="H63" s="2">
        <f t="shared" si="29"/>
        <v>30.2877913881407</v>
      </c>
      <c r="I63" s="2"/>
      <c r="J63" s="2"/>
      <c r="K63" s="74">
        <f t="shared" si="8"/>
        <v>0.55661945893432807</v>
      </c>
      <c r="L63" s="73"/>
      <c r="M63" s="3">
        <f t="shared" si="9"/>
        <v>0.73649999999999993</v>
      </c>
      <c r="N63" s="3">
        <f t="shared" si="10"/>
        <v>0.19439879498985868</v>
      </c>
      <c r="O63" s="3">
        <f t="shared" si="11"/>
        <v>0.20152074859162505</v>
      </c>
      <c r="U63" s="2">
        <f t="shared" ref="U63:U80" si="31">U62+$A$79</f>
        <v>-0.81402147623115018</v>
      </c>
      <c r="V63" s="2">
        <f t="shared" ref="V63:V93" si="32">U63+V62</f>
        <v>-1.6280429524623004</v>
      </c>
      <c r="X63" s="75"/>
    </row>
    <row r="64" spans="2:33" x14ac:dyDescent="0.35">
      <c r="B64">
        <f t="shared" si="7"/>
        <v>2034</v>
      </c>
      <c r="C64" s="2">
        <f t="shared" si="27"/>
        <v>10.925173751543852</v>
      </c>
      <c r="D64" s="1">
        <f t="shared" si="30"/>
        <v>0.50239306827912533</v>
      </c>
      <c r="E64" s="2">
        <f t="shared" si="28"/>
        <v>2.0478527703928308E-2</v>
      </c>
      <c r="F64" s="2">
        <f t="shared" si="26"/>
        <v>14.06700591181551</v>
      </c>
      <c r="G64" s="2">
        <f t="shared" si="26"/>
        <v>5.4268098415410018</v>
      </c>
      <c r="H64" s="2">
        <f t="shared" si="29"/>
        <v>29.333627536592164</v>
      </c>
      <c r="I64" s="2"/>
      <c r="J64" s="2"/>
      <c r="K64" s="74">
        <f t="shared" si="8"/>
        <v>0.57058738678166998</v>
      </c>
      <c r="L64" s="73"/>
      <c r="M64" s="3">
        <f t="shared" si="9"/>
        <v>0.75199999999999989</v>
      </c>
      <c r="N64" s="3">
        <f t="shared" si="10"/>
        <v>0.19439879498985868</v>
      </c>
      <c r="O64" s="3">
        <f t="shared" si="11"/>
        <v>0.20152074859162505</v>
      </c>
      <c r="U64" s="2">
        <f t="shared" si="31"/>
        <v>-1.0853619683082003</v>
      </c>
      <c r="V64" s="2">
        <f t="shared" si="32"/>
        <v>-2.7134049207705004</v>
      </c>
      <c r="X64" s="75"/>
    </row>
    <row r="65" spans="1:22" x14ac:dyDescent="0.35">
      <c r="B65">
        <f t="shared" si="7"/>
        <v>2035</v>
      </c>
      <c r="C65" s="2">
        <f t="shared" si="27"/>
        <v>10.242350392072362</v>
      </c>
      <c r="D65" s="1">
        <f t="shared" si="30"/>
        <v>0.50239306827912533</v>
      </c>
      <c r="E65" s="2">
        <f t="shared" si="28"/>
        <v>2.0478527703928308E-2</v>
      </c>
      <c r="F65" s="2">
        <f t="shared" si="26"/>
        <v>14.06700591181551</v>
      </c>
      <c r="G65" s="2">
        <f t="shared" si="26"/>
        <v>5.4268098415410018</v>
      </c>
      <c r="H65" s="2">
        <f t="shared" si="29"/>
        <v>28.379463685043625</v>
      </c>
      <c r="I65" s="2"/>
      <c r="J65" s="2"/>
      <c r="K65" s="74">
        <f t="shared" si="8"/>
        <v>0.58455531462901211</v>
      </c>
      <c r="L65" s="73"/>
      <c r="M65" s="3">
        <f t="shared" si="9"/>
        <v>0.76749999999999985</v>
      </c>
      <c r="N65" s="3">
        <f t="shared" si="10"/>
        <v>0.19439879498985868</v>
      </c>
      <c r="O65" s="3">
        <f t="shared" si="11"/>
        <v>0.20152074859162505</v>
      </c>
      <c r="U65" s="2">
        <f t="shared" si="31"/>
        <v>-1.3567024603852504</v>
      </c>
      <c r="V65" s="2">
        <f t="shared" si="32"/>
        <v>-4.0701073811557507</v>
      </c>
    </row>
    <row r="66" spans="1:22" x14ac:dyDescent="0.35">
      <c r="B66">
        <f t="shared" si="7"/>
        <v>2036</v>
      </c>
      <c r="C66" s="2">
        <f t="shared" si="27"/>
        <v>9.5595270326008723</v>
      </c>
      <c r="D66" s="1">
        <f t="shared" si="30"/>
        <v>0.50239306827912533</v>
      </c>
      <c r="E66" s="2">
        <f t="shared" si="28"/>
        <v>2.0478527703928308E-2</v>
      </c>
      <c r="F66" s="2">
        <f t="shared" si="26"/>
        <v>14.06700591181551</v>
      </c>
      <c r="G66" s="2">
        <f t="shared" si="26"/>
        <v>5.4268098415410018</v>
      </c>
      <c r="H66" s="2">
        <f t="shared" si="29"/>
        <v>27.425299833495082</v>
      </c>
      <c r="I66" s="2"/>
      <c r="J66" s="2"/>
      <c r="K66" s="74">
        <f t="shared" si="8"/>
        <v>0.59852324247635424</v>
      </c>
      <c r="L66" s="73"/>
      <c r="M66" s="3">
        <f t="shared" si="9"/>
        <v>0.78299999999999992</v>
      </c>
      <c r="N66" s="3">
        <f t="shared" si="10"/>
        <v>0.19439879498985868</v>
      </c>
      <c r="O66" s="3">
        <f t="shared" si="11"/>
        <v>0.20152074859162505</v>
      </c>
      <c r="U66" s="2">
        <f t="shared" si="31"/>
        <v>-1.6280429524623006</v>
      </c>
      <c r="V66" s="2">
        <f t="shared" si="32"/>
        <v>-5.6981503336180515</v>
      </c>
    </row>
    <row r="67" spans="1:22" x14ac:dyDescent="0.35">
      <c r="B67">
        <f t="shared" si="7"/>
        <v>2037</v>
      </c>
      <c r="C67" s="2">
        <f t="shared" si="27"/>
        <v>8.8767036731293825</v>
      </c>
      <c r="D67" s="1">
        <f t="shared" si="30"/>
        <v>0.50239306827912533</v>
      </c>
      <c r="E67" s="2">
        <f t="shared" si="28"/>
        <v>2.0478527703928308E-2</v>
      </c>
      <c r="F67" s="2">
        <f t="shared" si="26"/>
        <v>14.06700591181551</v>
      </c>
      <c r="G67" s="2">
        <f t="shared" si="26"/>
        <v>5.4268098415410018</v>
      </c>
      <c r="H67" s="2">
        <f t="shared" si="29"/>
        <v>26.471135981946542</v>
      </c>
      <c r="I67" s="2"/>
      <c r="J67" s="2"/>
      <c r="K67" s="74">
        <f t="shared" si="8"/>
        <v>0.61249117032369615</v>
      </c>
      <c r="L67" s="73"/>
      <c r="M67" s="3">
        <f t="shared" si="9"/>
        <v>0.79849999999999988</v>
      </c>
      <c r="N67" s="3">
        <f t="shared" si="10"/>
        <v>0.19439879498985868</v>
      </c>
      <c r="O67" s="3">
        <f t="shared" si="11"/>
        <v>0.20152074859162505</v>
      </c>
      <c r="U67" s="2">
        <f t="shared" si="31"/>
        <v>-1.8993834445393507</v>
      </c>
      <c r="V67" s="2">
        <f t="shared" si="32"/>
        <v>-7.5975337781574019</v>
      </c>
    </row>
    <row r="68" spans="1:22" x14ac:dyDescent="0.35">
      <c r="B68">
        <f t="shared" si="7"/>
        <v>2038</v>
      </c>
      <c r="C68" s="2">
        <f t="shared" si="27"/>
        <v>8.1938803136578926</v>
      </c>
      <c r="D68" s="1">
        <f t="shared" si="30"/>
        <v>0.50239306827912533</v>
      </c>
      <c r="E68" s="2">
        <f t="shared" si="28"/>
        <v>2.0478527703928308E-2</v>
      </c>
      <c r="F68" s="2">
        <f t="shared" si="26"/>
        <v>14.06700591181551</v>
      </c>
      <c r="G68" s="2">
        <f t="shared" si="26"/>
        <v>5.4268098415410018</v>
      </c>
      <c r="H68" s="2">
        <f t="shared" si="29"/>
        <v>25.516972130398003</v>
      </c>
      <c r="I68" s="2"/>
      <c r="J68" s="2"/>
      <c r="K68" s="74">
        <f t="shared" si="8"/>
        <v>0.62645909817103829</v>
      </c>
      <c r="L68" s="73"/>
      <c r="M68" s="3">
        <f t="shared" si="9"/>
        <v>0.81399999999999983</v>
      </c>
      <c r="N68" s="3">
        <f t="shared" si="10"/>
        <v>0.19439879498985868</v>
      </c>
      <c r="O68" s="3">
        <f t="shared" si="11"/>
        <v>0.20152074859162505</v>
      </c>
      <c r="U68" s="2">
        <f t="shared" si="31"/>
        <v>-2.1707239366164006</v>
      </c>
      <c r="V68" s="2">
        <f t="shared" si="32"/>
        <v>-9.768257714773803</v>
      </c>
    </row>
    <row r="69" spans="1:22" x14ac:dyDescent="0.35">
      <c r="B69">
        <f t="shared" si="7"/>
        <v>2039</v>
      </c>
      <c r="C69" s="2">
        <f t="shared" si="27"/>
        <v>7.5110569541864018</v>
      </c>
      <c r="D69" s="1">
        <f t="shared" si="30"/>
        <v>0.50239306827912533</v>
      </c>
      <c r="E69" s="2">
        <f t="shared" si="28"/>
        <v>2.0478527703928308E-2</v>
      </c>
      <c r="F69" s="2">
        <f t="shared" si="26"/>
        <v>14.06700591181551</v>
      </c>
      <c r="G69" s="2">
        <f t="shared" si="26"/>
        <v>5.4268098415410018</v>
      </c>
      <c r="H69" s="2">
        <f t="shared" si="29"/>
        <v>24.562808278849459</v>
      </c>
      <c r="I69" s="2"/>
      <c r="J69" s="2"/>
      <c r="K69" s="74">
        <f t="shared" si="8"/>
        <v>0.64042702601838042</v>
      </c>
      <c r="L69" s="73"/>
      <c r="M69" s="3">
        <f t="shared" si="9"/>
        <v>0.8294999999999999</v>
      </c>
      <c r="N69" s="3">
        <f t="shared" si="10"/>
        <v>0.19439879498985868</v>
      </c>
      <c r="O69" s="3">
        <f t="shared" si="11"/>
        <v>0.20152074859162505</v>
      </c>
      <c r="U69" s="2">
        <f t="shared" si="31"/>
        <v>-2.4420644286934508</v>
      </c>
      <c r="V69" s="2">
        <f t="shared" si="32"/>
        <v>-12.210322143467254</v>
      </c>
    </row>
    <row r="70" spans="1:22" x14ac:dyDescent="0.35">
      <c r="B70">
        <f t="shared" si="7"/>
        <v>2040</v>
      </c>
      <c r="C70" s="2">
        <f t="shared" si="27"/>
        <v>6.8282335947149111</v>
      </c>
      <c r="D70" s="1">
        <f t="shared" si="30"/>
        <v>0.50239306827912533</v>
      </c>
      <c r="E70" s="2">
        <f t="shared" si="28"/>
        <v>2.0478527703928308E-2</v>
      </c>
      <c r="F70" s="2">
        <f t="shared" si="26"/>
        <v>14.06700591181551</v>
      </c>
      <c r="G70" s="2">
        <f t="shared" si="26"/>
        <v>5.4268098415410018</v>
      </c>
      <c r="H70" s="2">
        <f t="shared" si="29"/>
        <v>23.608644427300923</v>
      </c>
      <c r="I70" s="2"/>
      <c r="J70" s="2"/>
      <c r="K70" s="74">
        <f t="shared" si="8"/>
        <v>0.65439495386572233</v>
      </c>
      <c r="L70" s="73"/>
      <c r="M70" s="3">
        <f t="shared" si="9"/>
        <v>0.84499999999999986</v>
      </c>
      <c r="N70" s="3">
        <f t="shared" si="10"/>
        <v>0.19439879498985868</v>
      </c>
      <c r="O70" s="3">
        <f t="shared" si="11"/>
        <v>0.20152074859162505</v>
      </c>
      <c r="P70" s="3">
        <f>M70</f>
        <v>0.84499999999999986</v>
      </c>
      <c r="Q70" s="3">
        <f t="shared" ref="Q70:R70" si="33">N70</f>
        <v>0.19439879498985868</v>
      </c>
      <c r="R70" s="3">
        <f t="shared" si="33"/>
        <v>0.20152074859162505</v>
      </c>
      <c r="S70" s="3">
        <f>K70</f>
        <v>0.65439495386572233</v>
      </c>
      <c r="T70" s="3"/>
      <c r="U70" s="2">
        <f t="shared" si="31"/>
        <v>-2.7134049207705009</v>
      </c>
      <c r="V70" s="2">
        <f t="shared" si="32"/>
        <v>-14.923727064237754</v>
      </c>
    </row>
    <row r="71" spans="1:22" x14ac:dyDescent="0.35">
      <c r="B71">
        <f t="shared" si="7"/>
        <v>2041</v>
      </c>
      <c r="C71" s="2">
        <f t="shared" si="27"/>
        <v>6.1454102352434203</v>
      </c>
      <c r="D71" s="1">
        <f t="shared" si="30"/>
        <v>0.50239306827912533</v>
      </c>
      <c r="E71" s="2">
        <f t="shared" si="28"/>
        <v>2.0478527703928308E-2</v>
      </c>
      <c r="F71" s="2">
        <f t="shared" si="26"/>
        <v>14.06700591181551</v>
      </c>
      <c r="G71" s="2">
        <f t="shared" si="26"/>
        <v>5.4268098415410018</v>
      </c>
      <c r="H71" s="2">
        <f t="shared" si="29"/>
        <v>22.65448057575238</v>
      </c>
      <c r="I71" s="2"/>
      <c r="J71" s="2"/>
      <c r="K71" s="74">
        <f t="shared" si="8"/>
        <v>0.66836288171306446</v>
      </c>
      <c r="L71" s="73"/>
      <c r="M71" s="3">
        <f t="shared" si="9"/>
        <v>0.86049999999999982</v>
      </c>
      <c r="N71" s="3">
        <f t="shared" si="10"/>
        <v>0.19439879498985868</v>
      </c>
      <c r="O71" s="3">
        <f t="shared" si="11"/>
        <v>0.20152074859162505</v>
      </c>
      <c r="U71" s="2">
        <f t="shared" si="31"/>
        <v>-2.984745412847551</v>
      </c>
      <c r="V71" s="2">
        <f t="shared" si="32"/>
        <v>-17.908472477085304</v>
      </c>
    </row>
    <row r="72" spans="1:22" x14ac:dyDescent="0.35">
      <c r="B72">
        <f t="shared" si="7"/>
        <v>2042</v>
      </c>
      <c r="C72" s="2">
        <f t="shared" si="27"/>
        <v>5.4625868757719296</v>
      </c>
      <c r="D72" s="1">
        <f t="shared" si="30"/>
        <v>0.50239306827912533</v>
      </c>
      <c r="E72" s="2">
        <f t="shared" si="28"/>
        <v>2.0478527703928308E-2</v>
      </c>
      <c r="F72" s="2">
        <f t="shared" si="26"/>
        <v>14.06700591181551</v>
      </c>
      <c r="G72" s="2">
        <f t="shared" si="26"/>
        <v>5.4268098415410018</v>
      </c>
      <c r="H72" s="2">
        <f t="shared" si="29"/>
        <v>21.700316724203841</v>
      </c>
      <c r="I72" s="2"/>
      <c r="J72" s="2"/>
      <c r="K72" s="74">
        <f t="shared" si="8"/>
        <v>0.68233080956040648</v>
      </c>
      <c r="L72" s="73"/>
      <c r="M72" s="3">
        <f t="shared" si="9"/>
        <v>0.87599999999999989</v>
      </c>
      <c r="N72" s="3">
        <f t="shared" si="10"/>
        <v>0.19439879498985868</v>
      </c>
      <c r="O72" s="3">
        <f t="shared" si="11"/>
        <v>0.20152074859162505</v>
      </c>
      <c r="U72" s="2">
        <f t="shared" si="31"/>
        <v>-3.2560859049246011</v>
      </c>
      <c r="V72" s="2">
        <f t="shared" si="32"/>
        <v>-21.164558382009904</v>
      </c>
    </row>
    <row r="73" spans="1:22" x14ac:dyDescent="0.35">
      <c r="B73">
        <f t="shared" si="7"/>
        <v>2043</v>
      </c>
      <c r="C73" s="2">
        <f t="shared" si="27"/>
        <v>4.7797635163004388</v>
      </c>
      <c r="D73" s="1">
        <f t="shared" si="30"/>
        <v>0.50239306827912533</v>
      </c>
      <c r="E73" s="2">
        <f t="shared" si="28"/>
        <v>2.0478527703928308E-2</v>
      </c>
      <c r="F73" s="2">
        <f t="shared" si="26"/>
        <v>14.06700591181551</v>
      </c>
      <c r="G73" s="2">
        <f t="shared" si="26"/>
        <v>5.4268098415410018</v>
      </c>
      <c r="H73" s="2">
        <f t="shared" si="29"/>
        <v>20.746152872655298</v>
      </c>
      <c r="I73" s="2"/>
      <c r="J73" s="2"/>
      <c r="K73" s="74">
        <f t="shared" si="8"/>
        <v>0.6962987374077485</v>
      </c>
      <c r="L73" s="73"/>
      <c r="M73" s="3">
        <f t="shared" si="9"/>
        <v>0.89149999999999985</v>
      </c>
      <c r="N73" s="3">
        <f t="shared" si="10"/>
        <v>0.19439879498985868</v>
      </c>
      <c r="O73" s="3">
        <f t="shared" si="11"/>
        <v>0.20152074859162505</v>
      </c>
      <c r="U73" s="2">
        <f t="shared" si="31"/>
        <v>-3.5274263970016513</v>
      </c>
      <c r="V73" s="2">
        <f t="shared" si="32"/>
        <v>-24.691984779011555</v>
      </c>
    </row>
    <row r="74" spans="1:22" x14ac:dyDescent="0.35">
      <c r="B74">
        <f t="shared" si="7"/>
        <v>2044</v>
      </c>
      <c r="C74" s="2">
        <f t="shared" si="27"/>
        <v>4.0969401568289481</v>
      </c>
      <c r="D74" s="1">
        <f t="shared" si="30"/>
        <v>0.50239306827912533</v>
      </c>
      <c r="E74" s="2">
        <f t="shared" si="28"/>
        <v>2.0478527703928308E-2</v>
      </c>
      <c r="F74" s="2">
        <f t="shared" si="26"/>
        <v>14.06700591181551</v>
      </c>
      <c r="G74" s="2">
        <f t="shared" si="26"/>
        <v>5.4268098415410018</v>
      </c>
      <c r="H74" s="2">
        <f t="shared" si="29"/>
        <v>19.791989021106755</v>
      </c>
      <c r="I74" s="2"/>
      <c r="J74" s="2"/>
      <c r="K74" s="74">
        <f t="shared" si="8"/>
        <v>0.71026666525509063</v>
      </c>
      <c r="L74" s="73"/>
      <c r="M74" s="3">
        <f t="shared" si="9"/>
        <v>0.90699999999999992</v>
      </c>
      <c r="N74" s="3">
        <f t="shared" si="10"/>
        <v>0.19439879498985868</v>
      </c>
      <c r="O74" s="3">
        <f t="shared" si="11"/>
        <v>0.20152074859162505</v>
      </c>
      <c r="U74" s="2">
        <f t="shared" si="31"/>
        <v>-3.7987668890787014</v>
      </c>
      <c r="V74" s="2">
        <f t="shared" si="32"/>
        <v>-28.490751668090258</v>
      </c>
    </row>
    <row r="75" spans="1:22" x14ac:dyDescent="0.35">
      <c r="B75">
        <f t="shared" si="7"/>
        <v>2045</v>
      </c>
      <c r="C75" s="2">
        <f t="shared" si="27"/>
        <v>3.4141167973574573</v>
      </c>
      <c r="D75" s="1">
        <f t="shared" si="30"/>
        <v>0.50239306827912533</v>
      </c>
      <c r="E75" s="2">
        <f t="shared" si="28"/>
        <v>2.0478527703928308E-2</v>
      </c>
      <c r="F75" s="2">
        <f t="shared" si="26"/>
        <v>14.06700591181551</v>
      </c>
      <c r="G75" s="2">
        <f t="shared" si="26"/>
        <v>5.4268098415410018</v>
      </c>
      <c r="H75" s="2">
        <f t="shared" si="29"/>
        <v>18.837825169558219</v>
      </c>
      <c r="I75" s="2"/>
      <c r="J75" s="2"/>
      <c r="K75" s="74">
        <f t="shared" si="8"/>
        <v>0.72423459310243266</v>
      </c>
      <c r="L75" s="73"/>
      <c r="M75" s="3">
        <f t="shared" si="9"/>
        <v>0.92249999999999988</v>
      </c>
      <c r="N75" s="3">
        <f t="shared" si="10"/>
        <v>0.19439879498985868</v>
      </c>
      <c r="O75" s="3">
        <f t="shared" si="11"/>
        <v>0.20152074859162505</v>
      </c>
      <c r="U75" s="2">
        <f t="shared" si="31"/>
        <v>-4.0701073811557515</v>
      </c>
      <c r="V75" s="2">
        <f t="shared" si="32"/>
        <v>-32.560859049246012</v>
      </c>
    </row>
    <row r="76" spans="1:22" x14ac:dyDescent="0.35">
      <c r="B76">
        <f t="shared" si="7"/>
        <v>2046</v>
      </c>
      <c r="C76" s="2">
        <f t="shared" si="27"/>
        <v>2.7312934378859666</v>
      </c>
      <c r="D76" s="1">
        <f t="shared" si="30"/>
        <v>0.50239306827912533</v>
      </c>
      <c r="E76" s="2">
        <f t="shared" si="28"/>
        <v>2.0478527703928308E-2</v>
      </c>
      <c r="F76" s="2">
        <f t="shared" si="26"/>
        <v>14.06700591181551</v>
      </c>
      <c r="G76" s="2">
        <f t="shared" si="26"/>
        <v>5.4268098415410018</v>
      </c>
      <c r="H76" s="2">
        <f t="shared" si="29"/>
        <v>17.883661318009676</v>
      </c>
      <c r="I76" s="2"/>
      <c r="J76" s="2"/>
      <c r="K76" s="74">
        <f t="shared" si="8"/>
        <v>0.73820252094977468</v>
      </c>
      <c r="L76" s="73"/>
      <c r="M76" s="3">
        <f t="shared" si="9"/>
        <v>0.93799999999999994</v>
      </c>
      <c r="N76" s="3">
        <f t="shared" si="10"/>
        <v>0.19439879498985868</v>
      </c>
      <c r="O76" s="3">
        <f t="shared" si="11"/>
        <v>0.20152074859162505</v>
      </c>
      <c r="U76" s="2">
        <f t="shared" si="31"/>
        <v>-4.3414478732328012</v>
      </c>
      <c r="V76" s="2">
        <f t="shared" si="32"/>
        <v>-36.902306922478814</v>
      </c>
    </row>
    <row r="77" spans="1:22" x14ac:dyDescent="0.35">
      <c r="B77">
        <f t="shared" si="7"/>
        <v>2047</v>
      </c>
      <c r="C77" s="2">
        <f t="shared" si="27"/>
        <v>2.0484700784144758</v>
      </c>
      <c r="D77" s="1">
        <f t="shared" si="30"/>
        <v>0.50239306827912533</v>
      </c>
      <c r="E77" s="2">
        <f t="shared" si="28"/>
        <v>2.0478527703928308E-2</v>
      </c>
      <c r="F77" s="2">
        <f t="shared" ref="F77:G90" si="34">D77*F$5</f>
        <v>14.06700591181551</v>
      </c>
      <c r="G77" s="2">
        <f t="shared" si="34"/>
        <v>5.4268098415410018</v>
      </c>
      <c r="H77" s="2">
        <f t="shared" si="29"/>
        <v>16.929497466461136</v>
      </c>
      <c r="I77" s="2"/>
      <c r="J77" s="2"/>
      <c r="K77" s="74">
        <f t="shared" si="8"/>
        <v>0.75217044879711681</v>
      </c>
      <c r="L77" s="73"/>
      <c r="M77" s="3">
        <f t="shared" si="9"/>
        <v>0.9534999999999999</v>
      </c>
      <c r="N77" s="3">
        <f t="shared" si="10"/>
        <v>0.19439879498985868</v>
      </c>
      <c r="O77" s="3">
        <f t="shared" si="11"/>
        <v>0.20152074859162505</v>
      </c>
      <c r="U77" s="2">
        <f t="shared" si="31"/>
        <v>-4.6127883653098509</v>
      </c>
      <c r="V77" s="2">
        <f t="shared" si="32"/>
        <v>-41.515095287788668</v>
      </c>
    </row>
    <row r="78" spans="1:22" x14ac:dyDescent="0.35">
      <c r="B78">
        <f t="shared" si="7"/>
        <v>2048</v>
      </c>
      <c r="C78" s="2">
        <f t="shared" si="27"/>
        <v>1.3656467189429853</v>
      </c>
      <c r="D78" s="1">
        <f t="shared" si="30"/>
        <v>0.50239306827912533</v>
      </c>
      <c r="E78" s="2">
        <f t="shared" si="28"/>
        <v>2.0478527703928308E-2</v>
      </c>
      <c r="F78" s="2">
        <f t="shared" si="34"/>
        <v>14.06700591181551</v>
      </c>
      <c r="G78" s="2">
        <f t="shared" si="34"/>
        <v>5.4268098415410018</v>
      </c>
      <c r="H78" s="2">
        <f t="shared" si="29"/>
        <v>15.975333614912596</v>
      </c>
      <c r="I78" s="2"/>
      <c r="J78" s="2"/>
      <c r="K78" s="74">
        <f t="shared" si="8"/>
        <v>0.76613837664445883</v>
      </c>
      <c r="L78" s="73"/>
      <c r="M78" s="3">
        <f t="shared" si="9"/>
        <v>0.96899999999999986</v>
      </c>
      <c r="N78" s="3">
        <f t="shared" si="10"/>
        <v>0.19439879498985868</v>
      </c>
      <c r="O78" s="3">
        <f t="shared" si="11"/>
        <v>0.20152074859162505</v>
      </c>
      <c r="U78" s="2">
        <f t="shared" si="31"/>
        <v>-4.8841288573869006</v>
      </c>
      <c r="V78" s="2">
        <f t="shared" si="32"/>
        <v>-46.399224145175566</v>
      </c>
    </row>
    <row r="79" spans="1:22" x14ac:dyDescent="0.35">
      <c r="A79">
        <f>-A80/20</f>
        <v>-0.27134049207705008</v>
      </c>
      <c r="B79">
        <f t="shared" si="7"/>
        <v>2049</v>
      </c>
      <c r="C79" s="2">
        <f t="shared" si="27"/>
        <v>0.68282335947149475</v>
      </c>
      <c r="D79" s="1">
        <f t="shared" si="30"/>
        <v>0.50239306827912533</v>
      </c>
      <c r="E79" s="2">
        <f t="shared" si="28"/>
        <v>2.0478527703928308E-2</v>
      </c>
      <c r="F79" s="2">
        <f t="shared" si="34"/>
        <v>14.06700591181551</v>
      </c>
      <c r="G79" s="2">
        <f t="shared" si="34"/>
        <v>5.4268098415410018</v>
      </c>
      <c r="H79" s="2">
        <f t="shared" si="29"/>
        <v>15.021169763364057</v>
      </c>
      <c r="I79" s="78"/>
      <c r="J79" s="2"/>
      <c r="K79" s="74">
        <f t="shared" si="8"/>
        <v>0.78010630449180085</v>
      </c>
      <c r="L79" s="73"/>
      <c r="M79" s="3">
        <f t="shared" si="9"/>
        <v>0.98449999999999993</v>
      </c>
      <c r="N79" s="3">
        <f t="shared" si="10"/>
        <v>0.19439879498985868</v>
      </c>
      <c r="O79" s="3">
        <f t="shared" si="11"/>
        <v>0.20152074859162505</v>
      </c>
      <c r="U79" s="2">
        <f t="shared" si="31"/>
        <v>-5.1554693494639503</v>
      </c>
      <c r="V79" s="2">
        <f t="shared" si="32"/>
        <v>-51.554693494639515</v>
      </c>
    </row>
    <row r="80" spans="1:22" x14ac:dyDescent="0.35">
      <c r="A80" s="2">
        <f>A82+A83</f>
        <v>5.4268098415410018</v>
      </c>
      <c r="B80">
        <f t="shared" si="7"/>
        <v>2050</v>
      </c>
      <c r="C80" s="2">
        <f t="shared" si="27"/>
        <v>4.2188474935755949E-15</v>
      </c>
      <c r="D80" s="1">
        <f t="shared" si="30"/>
        <v>0.50239306827912533</v>
      </c>
      <c r="E80" s="2">
        <f t="shared" si="28"/>
        <v>2.0478527703928308E-2</v>
      </c>
      <c r="F80" s="2">
        <f t="shared" si="34"/>
        <v>14.06700591181551</v>
      </c>
      <c r="G80" s="2">
        <f t="shared" si="34"/>
        <v>5.4268098415410018</v>
      </c>
      <c r="H80" s="2">
        <f t="shared" si="29"/>
        <v>14.067005911815514</v>
      </c>
      <c r="I80" s="78"/>
      <c r="J80" s="2"/>
      <c r="K80" s="74">
        <f t="shared" si="8"/>
        <v>0.79407423233914298</v>
      </c>
      <c r="L80" s="73"/>
      <c r="M80" s="3">
        <f t="shared" si="9"/>
        <v>0.99999999999999989</v>
      </c>
      <c r="N80" s="3">
        <f t="shared" si="10"/>
        <v>0.19439879498985868</v>
      </c>
      <c r="O80" s="3">
        <f t="shared" si="11"/>
        <v>0.20152074859162505</v>
      </c>
      <c r="P80" s="3">
        <f>M80</f>
        <v>0.99999999999999989</v>
      </c>
      <c r="Q80" s="3">
        <f t="shared" ref="Q80:R80" si="35">N80</f>
        <v>0.19439879498985868</v>
      </c>
      <c r="R80" s="3">
        <f t="shared" si="35"/>
        <v>0.20152074859162505</v>
      </c>
      <c r="S80" s="3">
        <f>K80</f>
        <v>0.79407423233914298</v>
      </c>
      <c r="T80" s="3"/>
      <c r="U80" s="2">
        <f t="shared" si="31"/>
        <v>-5.426809841541</v>
      </c>
      <c r="V80" s="2">
        <f t="shared" si="32"/>
        <v>-56.981503336180516</v>
      </c>
    </row>
    <row r="81" spans="1:22" x14ac:dyDescent="0.35">
      <c r="B81">
        <f t="shared" si="7"/>
        <v>2051</v>
      </c>
      <c r="C81" s="2">
        <v>0</v>
      </c>
      <c r="D81" s="1">
        <f t="shared" si="30"/>
        <v>0.50239306827912533</v>
      </c>
      <c r="E81" s="2">
        <f t="shared" si="28"/>
        <v>2.0478527703928308E-2</v>
      </c>
      <c r="F81" s="2">
        <f t="shared" si="34"/>
        <v>14.06700591181551</v>
      </c>
      <c r="G81" s="2">
        <f>G80</f>
        <v>5.4268098415410018</v>
      </c>
      <c r="H81" s="68">
        <f t="shared" si="29"/>
        <v>14.06700591181551</v>
      </c>
      <c r="I81" s="78"/>
      <c r="J81" s="2"/>
      <c r="K81" s="74">
        <f t="shared" si="8"/>
        <v>0.79407423233914298</v>
      </c>
      <c r="L81" s="73"/>
      <c r="M81" s="3">
        <f t="shared" si="9"/>
        <v>1</v>
      </c>
      <c r="N81" s="3">
        <f t="shared" si="10"/>
        <v>0.19439879498985868</v>
      </c>
      <c r="O81" s="3">
        <f t="shared" si="11"/>
        <v>0.20152074859162505</v>
      </c>
      <c r="U81" s="2">
        <f>U80</f>
        <v>-5.426809841541</v>
      </c>
      <c r="V81" s="2">
        <f t="shared" si="32"/>
        <v>-62.408313177721517</v>
      </c>
    </row>
    <row r="82" spans="1:22" x14ac:dyDescent="0.35">
      <c r="A82">
        <f>IF(InputOutput!B6="Yes",F79,0)</f>
        <v>0</v>
      </c>
      <c r="B82">
        <f t="shared" si="7"/>
        <v>2052</v>
      </c>
      <c r="C82" s="2">
        <f>C81</f>
        <v>0</v>
      </c>
      <c r="D82" s="1">
        <f t="shared" si="30"/>
        <v>0.50239306827912533</v>
      </c>
      <c r="E82" s="2">
        <f t="shared" si="28"/>
        <v>2.0478527703928308E-2</v>
      </c>
      <c r="F82" s="2">
        <f t="shared" si="34"/>
        <v>14.06700591181551</v>
      </c>
      <c r="G82" s="2">
        <f t="shared" ref="G82:G131" si="36">G81</f>
        <v>5.4268098415410018</v>
      </c>
      <c r="H82" s="68">
        <f t="shared" si="29"/>
        <v>14.06700591181551</v>
      </c>
      <c r="I82" s="78"/>
      <c r="J82" s="2"/>
      <c r="K82" s="74">
        <f t="shared" si="8"/>
        <v>0.79407423233914298</v>
      </c>
      <c r="L82" s="73"/>
      <c r="M82" s="3">
        <f t="shared" si="9"/>
        <v>1</v>
      </c>
      <c r="N82" s="3">
        <f t="shared" si="10"/>
        <v>0.19439879498985868</v>
      </c>
      <c r="O82" s="3">
        <f t="shared" si="11"/>
        <v>0.20152074859162505</v>
      </c>
      <c r="U82" s="2">
        <f t="shared" ref="U82:U93" si="37">U81</f>
        <v>-5.426809841541</v>
      </c>
      <c r="V82" s="2">
        <f t="shared" si="32"/>
        <v>-67.835123019262511</v>
      </c>
    </row>
    <row r="83" spans="1:22" x14ac:dyDescent="0.35">
      <c r="A83">
        <f>IF(InputOutput!B7="Yes",G80,0)</f>
        <v>5.4268098415410018</v>
      </c>
      <c r="B83">
        <f t="shared" si="7"/>
        <v>2053</v>
      </c>
      <c r="C83" s="2">
        <f t="shared" ref="C83:C90" si="38">C82</f>
        <v>0</v>
      </c>
      <c r="D83" s="1">
        <f t="shared" si="30"/>
        <v>0.50239306827912533</v>
      </c>
      <c r="E83" s="2">
        <f t="shared" si="28"/>
        <v>2.0478527703928308E-2</v>
      </c>
      <c r="F83" s="2">
        <f t="shared" si="34"/>
        <v>14.06700591181551</v>
      </c>
      <c r="G83" s="2">
        <f t="shared" si="36"/>
        <v>5.4268098415410018</v>
      </c>
      <c r="H83" s="68">
        <f t="shared" si="29"/>
        <v>14.06700591181551</v>
      </c>
      <c r="I83" s="78"/>
      <c r="J83" s="2"/>
      <c r="K83" s="74">
        <f t="shared" si="8"/>
        <v>0.79407423233914298</v>
      </c>
      <c r="L83" s="73"/>
      <c r="M83" s="3">
        <f t="shared" si="9"/>
        <v>1</v>
      </c>
      <c r="N83" s="3">
        <f t="shared" si="10"/>
        <v>0.19439879498985868</v>
      </c>
      <c r="O83" s="3">
        <f t="shared" si="11"/>
        <v>0.20152074859162505</v>
      </c>
      <c r="U83" s="2">
        <f t="shared" si="37"/>
        <v>-5.426809841541</v>
      </c>
      <c r="V83" s="2">
        <f t="shared" si="32"/>
        <v>-73.261932860803512</v>
      </c>
    </row>
    <row r="84" spans="1:22" x14ac:dyDescent="0.35">
      <c r="B84">
        <f t="shared" si="7"/>
        <v>2054</v>
      </c>
      <c r="C84" s="2">
        <f t="shared" si="38"/>
        <v>0</v>
      </c>
      <c r="D84" s="1">
        <f t="shared" si="30"/>
        <v>0.50239306827912533</v>
      </c>
      <c r="E84" s="2">
        <f t="shared" si="28"/>
        <v>2.0478527703928308E-2</v>
      </c>
      <c r="F84" s="2">
        <f t="shared" si="34"/>
        <v>14.06700591181551</v>
      </c>
      <c r="G84" s="2">
        <f t="shared" si="36"/>
        <v>5.4268098415410018</v>
      </c>
      <c r="H84" s="68">
        <f t="shared" si="29"/>
        <v>14.06700591181551</v>
      </c>
      <c r="I84" s="78"/>
      <c r="J84" s="2"/>
      <c r="K84" s="74">
        <f t="shared" si="8"/>
        <v>0.79407423233914298</v>
      </c>
      <c r="L84" s="73"/>
      <c r="M84" s="3">
        <f t="shared" si="9"/>
        <v>1</v>
      </c>
      <c r="N84" s="3">
        <f t="shared" si="10"/>
        <v>0.19439879498985868</v>
      </c>
      <c r="O84" s="3">
        <f t="shared" si="11"/>
        <v>0.20152074859162505</v>
      </c>
      <c r="U84" s="2">
        <f t="shared" si="37"/>
        <v>-5.426809841541</v>
      </c>
      <c r="V84" s="2">
        <f t="shared" si="32"/>
        <v>-78.688742702344513</v>
      </c>
    </row>
    <row r="85" spans="1:22" x14ac:dyDescent="0.35">
      <c r="B85">
        <f t="shared" si="7"/>
        <v>2055</v>
      </c>
      <c r="C85" s="2">
        <f t="shared" si="38"/>
        <v>0</v>
      </c>
      <c r="D85" s="1">
        <f t="shared" si="30"/>
        <v>0.50239306827912533</v>
      </c>
      <c r="E85" s="2">
        <f t="shared" si="28"/>
        <v>2.0478527703928308E-2</v>
      </c>
      <c r="F85" s="2">
        <f t="shared" si="34"/>
        <v>14.06700591181551</v>
      </c>
      <c r="G85" s="2">
        <f t="shared" si="36"/>
        <v>5.4268098415410018</v>
      </c>
      <c r="H85" s="68">
        <f t="shared" si="29"/>
        <v>14.06700591181551</v>
      </c>
      <c r="I85" s="78"/>
      <c r="J85" s="2"/>
      <c r="K85" s="74">
        <f t="shared" si="8"/>
        <v>0.79407423233914298</v>
      </c>
      <c r="L85" s="73"/>
      <c r="M85" s="3">
        <f t="shared" si="9"/>
        <v>1</v>
      </c>
      <c r="N85" s="3">
        <f t="shared" si="10"/>
        <v>0.19439879498985868</v>
      </c>
      <c r="O85" s="3">
        <f t="shared" si="11"/>
        <v>0.20152074859162505</v>
      </c>
      <c r="U85" s="2">
        <f t="shared" si="37"/>
        <v>-5.426809841541</v>
      </c>
      <c r="V85" s="2">
        <f t="shared" si="32"/>
        <v>-84.115552543885514</v>
      </c>
    </row>
    <row r="86" spans="1:22" x14ac:dyDescent="0.35">
      <c r="B86">
        <f t="shared" ref="B86:B90" si="39">B85+1</f>
        <v>2056</v>
      </c>
      <c r="C86" s="2">
        <f t="shared" si="38"/>
        <v>0</v>
      </c>
      <c r="D86" s="1">
        <f t="shared" si="30"/>
        <v>0.50239306827912533</v>
      </c>
      <c r="E86" s="2">
        <f t="shared" si="28"/>
        <v>2.0478527703928308E-2</v>
      </c>
      <c r="F86" s="2">
        <f t="shared" si="34"/>
        <v>14.06700591181551</v>
      </c>
      <c r="G86" s="2">
        <f t="shared" si="36"/>
        <v>5.4268098415410018</v>
      </c>
      <c r="H86" s="68">
        <f t="shared" si="29"/>
        <v>14.06700591181551</v>
      </c>
      <c r="I86" s="78"/>
      <c r="J86" s="2"/>
      <c r="K86" s="74">
        <f t="shared" si="8"/>
        <v>0.79407423233914298</v>
      </c>
      <c r="L86" s="73"/>
      <c r="M86" s="3">
        <f t="shared" si="9"/>
        <v>1</v>
      </c>
      <c r="N86" s="3">
        <f t="shared" si="10"/>
        <v>0.19439879498985868</v>
      </c>
      <c r="O86" s="3">
        <f t="shared" si="11"/>
        <v>0.20152074859162505</v>
      </c>
      <c r="U86" s="2">
        <f t="shared" si="37"/>
        <v>-5.426809841541</v>
      </c>
      <c r="V86" s="2">
        <f t="shared" si="32"/>
        <v>-89.542362385426514</v>
      </c>
    </row>
    <row r="87" spans="1:22" x14ac:dyDescent="0.35">
      <c r="B87">
        <f t="shared" si="39"/>
        <v>2057</v>
      </c>
      <c r="C87" s="2">
        <f t="shared" si="38"/>
        <v>0</v>
      </c>
      <c r="D87" s="1">
        <f t="shared" si="30"/>
        <v>0.50239306827912533</v>
      </c>
      <c r="E87" s="2">
        <f t="shared" si="28"/>
        <v>2.0478527703928308E-2</v>
      </c>
      <c r="F87" s="2">
        <f t="shared" si="34"/>
        <v>14.06700591181551</v>
      </c>
      <c r="G87" s="2">
        <f t="shared" si="36"/>
        <v>5.4268098415410018</v>
      </c>
      <c r="H87" s="68">
        <f t="shared" si="29"/>
        <v>14.06700591181551</v>
      </c>
      <c r="I87" s="78"/>
      <c r="J87" s="2"/>
      <c r="K87" s="74">
        <f t="shared" si="8"/>
        <v>0.79407423233914298</v>
      </c>
      <c r="L87" s="73"/>
      <c r="M87" s="3">
        <f t="shared" si="9"/>
        <v>1</v>
      </c>
      <c r="N87" s="3">
        <f t="shared" si="10"/>
        <v>0.19439879498985868</v>
      </c>
      <c r="O87" s="3">
        <f t="shared" si="11"/>
        <v>0.20152074859162505</v>
      </c>
      <c r="U87" s="2">
        <f t="shared" si="37"/>
        <v>-5.426809841541</v>
      </c>
      <c r="V87" s="2">
        <f t="shared" si="32"/>
        <v>-94.969172226967515</v>
      </c>
    </row>
    <row r="88" spans="1:22" x14ac:dyDescent="0.35">
      <c r="B88">
        <f t="shared" si="39"/>
        <v>2058</v>
      </c>
      <c r="C88" s="2">
        <f t="shared" si="38"/>
        <v>0</v>
      </c>
      <c r="D88" s="1">
        <f t="shared" si="30"/>
        <v>0.50239306827912533</v>
      </c>
      <c r="E88" s="2">
        <f t="shared" si="28"/>
        <v>2.0478527703928308E-2</v>
      </c>
      <c r="F88" s="2">
        <f t="shared" si="34"/>
        <v>14.06700591181551</v>
      </c>
      <c r="G88" s="2">
        <f t="shared" si="36"/>
        <v>5.4268098415410018</v>
      </c>
      <c r="H88" s="68">
        <f t="shared" si="29"/>
        <v>14.06700591181551</v>
      </c>
      <c r="I88" s="78"/>
      <c r="J88" s="2"/>
      <c r="K88" s="74">
        <f t="shared" si="8"/>
        <v>0.79407423233914298</v>
      </c>
      <c r="L88" s="73"/>
      <c r="M88" s="3">
        <f t="shared" si="9"/>
        <v>1</v>
      </c>
      <c r="N88" s="3">
        <f t="shared" si="10"/>
        <v>0.19439879498985868</v>
      </c>
      <c r="O88" s="3">
        <f t="shared" si="11"/>
        <v>0.20152074859162505</v>
      </c>
      <c r="U88" s="2">
        <f t="shared" si="37"/>
        <v>-5.426809841541</v>
      </c>
      <c r="V88" s="2">
        <f t="shared" si="32"/>
        <v>-100.39598206850852</v>
      </c>
    </row>
    <row r="89" spans="1:22" x14ac:dyDescent="0.35">
      <c r="B89">
        <f t="shared" si="39"/>
        <v>2059</v>
      </c>
      <c r="C89" s="2">
        <f t="shared" si="38"/>
        <v>0</v>
      </c>
      <c r="D89" s="1">
        <f t="shared" si="30"/>
        <v>0.50239306827912533</v>
      </c>
      <c r="E89" s="2">
        <f t="shared" si="28"/>
        <v>2.0478527703928308E-2</v>
      </c>
      <c r="F89" s="2">
        <f t="shared" si="34"/>
        <v>14.06700591181551</v>
      </c>
      <c r="G89" s="2">
        <f t="shared" si="36"/>
        <v>5.4268098415410018</v>
      </c>
      <c r="H89" s="68">
        <f t="shared" si="29"/>
        <v>14.06700591181551</v>
      </c>
      <c r="I89" s="78"/>
      <c r="J89" s="2"/>
      <c r="K89" s="74">
        <f t="shared" si="8"/>
        <v>0.79407423233914298</v>
      </c>
      <c r="L89" s="73"/>
      <c r="M89" s="3">
        <f t="shared" si="9"/>
        <v>1</v>
      </c>
      <c r="N89" s="3">
        <f t="shared" si="10"/>
        <v>0.19439879498985868</v>
      </c>
      <c r="O89" s="3">
        <f t="shared" si="11"/>
        <v>0.20152074859162505</v>
      </c>
      <c r="U89" s="2">
        <f t="shared" si="37"/>
        <v>-5.426809841541</v>
      </c>
      <c r="V89" s="2">
        <f t="shared" si="32"/>
        <v>-105.82279191004952</v>
      </c>
    </row>
    <row r="90" spans="1:22" x14ac:dyDescent="0.35">
      <c r="B90">
        <f t="shared" si="39"/>
        <v>2060</v>
      </c>
      <c r="C90" s="2">
        <f t="shared" si="38"/>
        <v>0</v>
      </c>
      <c r="D90" s="1">
        <f t="shared" si="30"/>
        <v>0.50239306827912533</v>
      </c>
      <c r="E90" s="2">
        <f t="shared" si="28"/>
        <v>2.0478527703928308E-2</v>
      </c>
      <c r="F90" s="2">
        <f t="shared" si="34"/>
        <v>14.06700591181551</v>
      </c>
      <c r="G90" s="2">
        <f t="shared" si="36"/>
        <v>5.4268098415410018</v>
      </c>
      <c r="H90" s="68">
        <f t="shared" si="29"/>
        <v>14.06700591181551</v>
      </c>
      <c r="I90" s="78"/>
      <c r="J90" s="2"/>
      <c r="K90" s="74">
        <f t="shared" si="8"/>
        <v>0.79407423233914298</v>
      </c>
      <c r="L90" s="73"/>
      <c r="M90" s="3">
        <f t="shared" si="9"/>
        <v>1</v>
      </c>
      <c r="N90" s="3">
        <f t="shared" si="10"/>
        <v>0.19439879498985868</v>
      </c>
      <c r="O90" s="3">
        <f t="shared" si="11"/>
        <v>0.20152074859162505</v>
      </c>
      <c r="U90" s="2">
        <f t="shared" si="37"/>
        <v>-5.426809841541</v>
      </c>
      <c r="V90" s="2">
        <f t="shared" si="32"/>
        <v>-111.24960175159052</v>
      </c>
    </row>
    <row r="91" spans="1:22" x14ac:dyDescent="0.35">
      <c r="B91" s="134"/>
      <c r="C91" s="135"/>
      <c r="D91" s="138"/>
      <c r="E91" s="135"/>
      <c r="F91" s="135"/>
      <c r="G91" s="135"/>
      <c r="H91" s="135"/>
      <c r="I91" s="139"/>
      <c r="J91" s="135"/>
      <c r="K91" s="140"/>
      <c r="L91" s="140"/>
      <c r="M91" s="140"/>
      <c r="N91" s="140"/>
      <c r="O91" s="140"/>
      <c r="U91" s="2">
        <f t="shared" si="37"/>
        <v>-5.426809841541</v>
      </c>
      <c r="V91" s="2">
        <f t="shared" si="32"/>
        <v>-116.67641159313152</v>
      </c>
    </row>
    <row r="92" spans="1:22" x14ac:dyDescent="0.35">
      <c r="B92" s="134"/>
      <c r="C92" s="135"/>
      <c r="D92" s="138"/>
      <c r="E92" s="135"/>
      <c r="F92" s="135"/>
      <c r="G92" s="135"/>
      <c r="H92" s="135"/>
      <c r="I92" s="139"/>
      <c r="J92" s="135"/>
      <c r="K92" s="140"/>
      <c r="L92" s="140"/>
      <c r="M92" s="140"/>
      <c r="N92" s="140"/>
      <c r="O92" s="140"/>
      <c r="U92" s="2">
        <f t="shared" si="37"/>
        <v>-5.426809841541</v>
      </c>
      <c r="V92" s="2">
        <f t="shared" si="32"/>
        <v>-122.10322143467252</v>
      </c>
    </row>
    <row r="93" spans="1:22" x14ac:dyDescent="0.35">
      <c r="B93" s="134"/>
      <c r="C93" s="135"/>
      <c r="D93" s="138"/>
      <c r="E93" s="135"/>
      <c r="F93" s="135"/>
      <c r="G93" s="135"/>
      <c r="H93" s="135"/>
      <c r="I93" s="139"/>
      <c r="J93" s="135"/>
      <c r="K93" s="140"/>
      <c r="L93" s="140"/>
      <c r="M93" s="140"/>
      <c r="N93" s="140"/>
      <c r="O93" s="140"/>
      <c r="U93" s="2">
        <f t="shared" si="37"/>
        <v>-5.426809841541</v>
      </c>
      <c r="V93" s="2">
        <f t="shared" si="32"/>
        <v>-127.53003127621352</v>
      </c>
    </row>
    <row r="94" spans="1:22" x14ac:dyDescent="0.35">
      <c r="B94" s="134"/>
      <c r="C94" s="135"/>
      <c r="D94" s="138"/>
      <c r="E94" s="135"/>
      <c r="F94" s="135"/>
      <c r="G94" s="135"/>
      <c r="H94" s="135"/>
      <c r="I94" s="139"/>
      <c r="J94" s="135"/>
      <c r="K94" s="140"/>
      <c r="L94" s="140"/>
      <c r="M94" s="140"/>
      <c r="N94" s="140"/>
      <c r="O94" s="140"/>
    </row>
    <row r="95" spans="1:22" x14ac:dyDescent="0.35">
      <c r="B95" s="134"/>
      <c r="C95" s="135"/>
      <c r="D95" s="138"/>
      <c r="E95" s="135"/>
      <c r="F95" s="135"/>
      <c r="G95" s="135"/>
      <c r="H95" s="135"/>
      <c r="I95" s="139"/>
      <c r="J95" s="135"/>
      <c r="K95" s="140"/>
      <c r="L95" s="140"/>
      <c r="M95" s="140"/>
      <c r="N95" s="140"/>
      <c r="O95" s="140"/>
    </row>
    <row r="96" spans="1:22" x14ac:dyDescent="0.35">
      <c r="B96" s="134"/>
      <c r="C96" s="135"/>
      <c r="D96" s="138"/>
      <c r="E96" s="135"/>
      <c r="F96" s="135"/>
      <c r="G96" s="135"/>
      <c r="H96" s="135"/>
      <c r="I96" s="139"/>
      <c r="J96" s="135"/>
      <c r="K96" s="140"/>
      <c r="L96" s="140"/>
      <c r="M96" s="140"/>
      <c r="N96" s="140"/>
      <c r="O96" s="140"/>
    </row>
    <row r="97" spans="2:15" x14ac:dyDescent="0.35">
      <c r="B97" s="134"/>
      <c r="C97" s="135"/>
      <c r="D97" s="138"/>
      <c r="E97" s="135"/>
      <c r="F97" s="135"/>
      <c r="G97" s="135"/>
      <c r="H97" s="135"/>
      <c r="I97" s="139"/>
      <c r="J97" s="135"/>
      <c r="K97" s="140"/>
      <c r="L97" s="140"/>
      <c r="M97" s="140"/>
      <c r="N97" s="140"/>
      <c r="O97" s="140"/>
    </row>
    <row r="98" spans="2:15" x14ac:dyDescent="0.35">
      <c r="B98" s="134"/>
      <c r="C98" s="135"/>
      <c r="D98" s="138"/>
      <c r="E98" s="135"/>
      <c r="F98" s="135"/>
      <c r="G98" s="135"/>
      <c r="H98" s="135"/>
      <c r="I98" s="139"/>
      <c r="J98" s="135"/>
      <c r="K98" s="140"/>
      <c r="L98" s="140"/>
      <c r="M98" s="140"/>
      <c r="N98" s="140"/>
      <c r="O98" s="140"/>
    </row>
    <row r="99" spans="2:15" x14ac:dyDescent="0.35">
      <c r="B99" s="134"/>
      <c r="C99" s="135"/>
      <c r="D99" s="138"/>
      <c r="E99" s="135"/>
      <c r="F99" s="135"/>
      <c r="G99" s="135"/>
      <c r="H99" s="135"/>
      <c r="I99" s="139"/>
      <c r="J99" s="135"/>
      <c r="K99" s="140"/>
      <c r="L99" s="140"/>
      <c r="M99" s="140"/>
      <c r="N99" s="140"/>
      <c r="O99" s="140"/>
    </row>
    <row r="100" spans="2:15" x14ac:dyDescent="0.35">
      <c r="B100" s="134"/>
      <c r="C100" s="135"/>
      <c r="D100" s="138"/>
      <c r="E100" s="135"/>
      <c r="F100" s="135"/>
      <c r="G100" s="135"/>
      <c r="H100" s="135"/>
      <c r="I100" s="139"/>
      <c r="J100" s="135"/>
      <c r="K100" s="140"/>
      <c r="L100" s="140"/>
      <c r="M100" s="140"/>
      <c r="N100" s="140"/>
      <c r="O100" s="140"/>
    </row>
    <row r="101" spans="2:15" x14ac:dyDescent="0.35">
      <c r="B101" s="134"/>
      <c r="C101" s="135"/>
      <c r="D101" s="138"/>
      <c r="E101" s="135"/>
      <c r="F101" s="135"/>
      <c r="G101" s="135"/>
      <c r="H101" s="135"/>
      <c r="I101" s="139"/>
      <c r="J101" s="135"/>
      <c r="K101" s="140"/>
      <c r="L101" s="140"/>
      <c r="M101" s="140"/>
      <c r="N101" s="140"/>
      <c r="O101" s="140"/>
    </row>
    <row r="102" spans="2:15" x14ac:dyDescent="0.35">
      <c r="B102" s="134"/>
      <c r="C102" s="135"/>
      <c r="D102" s="138"/>
      <c r="E102" s="135"/>
      <c r="F102" s="135"/>
      <c r="G102" s="135"/>
      <c r="H102" s="135"/>
      <c r="I102" s="139"/>
      <c r="J102" s="135"/>
      <c r="K102" s="140"/>
      <c r="L102" s="140"/>
      <c r="M102" s="140"/>
      <c r="N102" s="140"/>
      <c r="O102" s="140"/>
    </row>
    <row r="103" spans="2:15" x14ac:dyDescent="0.35">
      <c r="B103" s="134"/>
      <c r="C103" s="135"/>
      <c r="D103" s="138"/>
      <c r="E103" s="135"/>
      <c r="F103" s="135"/>
      <c r="G103" s="135"/>
      <c r="H103" s="135"/>
      <c r="I103" s="139"/>
      <c r="J103" s="135"/>
      <c r="K103" s="140"/>
      <c r="L103" s="140"/>
      <c r="M103" s="140"/>
      <c r="N103" s="140"/>
      <c r="O103" s="140"/>
    </row>
    <row r="104" spans="2:15" x14ac:dyDescent="0.35">
      <c r="B104" s="134"/>
      <c r="C104" s="135"/>
      <c r="D104" s="138"/>
      <c r="E104" s="135"/>
      <c r="F104" s="135"/>
      <c r="G104" s="135"/>
      <c r="H104" s="135"/>
      <c r="I104" s="139"/>
      <c r="J104" s="135"/>
      <c r="K104" s="140"/>
      <c r="L104" s="140"/>
      <c r="M104" s="140"/>
      <c r="N104" s="140"/>
      <c r="O104" s="140"/>
    </row>
    <row r="105" spans="2:15" x14ac:dyDescent="0.35">
      <c r="B105" s="134"/>
      <c r="C105" s="135"/>
      <c r="D105" s="138"/>
      <c r="E105" s="135"/>
      <c r="F105" s="135"/>
      <c r="G105" s="135"/>
      <c r="H105" s="135"/>
      <c r="I105" s="139"/>
      <c r="J105" s="135"/>
      <c r="K105" s="140"/>
      <c r="L105" s="140"/>
      <c r="M105" s="140"/>
      <c r="N105" s="140"/>
      <c r="O105" s="140"/>
    </row>
    <row r="106" spans="2:15" x14ac:dyDescent="0.35">
      <c r="B106" s="134"/>
      <c r="C106" s="135"/>
      <c r="D106" s="138"/>
      <c r="E106" s="135"/>
      <c r="F106" s="135"/>
      <c r="G106" s="135"/>
      <c r="H106" s="135"/>
      <c r="I106" s="139"/>
      <c r="J106" s="135"/>
      <c r="K106" s="140"/>
      <c r="L106" s="140"/>
      <c r="M106" s="140"/>
      <c r="N106" s="140"/>
      <c r="O106" s="140"/>
    </row>
    <row r="107" spans="2:15" x14ac:dyDescent="0.35">
      <c r="B107" s="134"/>
      <c r="C107" s="135"/>
      <c r="D107" s="138"/>
      <c r="E107" s="135"/>
      <c r="F107" s="135"/>
      <c r="G107" s="135"/>
      <c r="H107" s="135"/>
      <c r="I107" s="139"/>
      <c r="J107" s="135"/>
      <c r="K107" s="140"/>
      <c r="L107" s="140"/>
      <c r="M107" s="140"/>
      <c r="N107" s="140"/>
      <c r="O107" s="140"/>
    </row>
    <row r="108" spans="2:15" x14ac:dyDescent="0.35">
      <c r="B108" s="134"/>
      <c r="C108" s="135"/>
      <c r="D108" s="138"/>
      <c r="E108" s="135"/>
      <c r="F108" s="135"/>
      <c r="G108" s="135"/>
      <c r="H108" s="135"/>
      <c r="I108" s="139"/>
      <c r="J108" s="135"/>
      <c r="K108" s="140"/>
      <c r="L108" s="140"/>
      <c r="M108" s="140"/>
      <c r="N108" s="140"/>
      <c r="O108" s="140"/>
    </row>
    <row r="109" spans="2:15" x14ac:dyDescent="0.35">
      <c r="B109" s="134"/>
      <c r="C109" s="135"/>
      <c r="D109" s="138"/>
      <c r="E109" s="135"/>
      <c r="F109" s="135"/>
      <c r="G109" s="135"/>
      <c r="H109" s="135"/>
      <c r="I109" s="139"/>
      <c r="J109" s="135"/>
      <c r="K109" s="140"/>
      <c r="L109" s="140"/>
      <c r="M109" s="140"/>
      <c r="N109" s="140"/>
      <c r="O109" s="140"/>
    </row>
    <row r="110" spans="2:15" x14ac:dyDescent="0.35">
      <c r="B110" s="134"/>
      <c r="C110" s="135"/>
      <c r="D110" s="138"/>
      <c r="E110" s="135"/>
      <c r="F110" s="135"/>
      <c r="G110" s="135"/>
      <c r="H110" s="135"/>
      <c r="I110" s="139"/>
      <c r="J110" s="135"/>
      <c r="K110" s="140"/>
      <c r="L110" s="140"/>
      <c r="M110" s="140"/>
      <c r="N110" s="140"/>
      <c r="O110" s="140"/>
    </row>
    <row r="111" spans="2:15" x14ac:dyDescent="0.35">
      <c r="B111" s="134"/>
      <c r="C111" s="135"/>
      <c r="D111" s="138"/>
      <c r="E111" s="135"/>
      <c r="F111" s="135"/>
      <c r="G111" s="135"/>
      <c r="H111" s="135"/>
      <c r="I111" s="139"/>
      <c r="J111" s="135"/>
      <c r="K111" s="140"/>
      <c r="L111" s="140"/>
      <c r="M111" s="140"/>
      <c r="N111" s="140"/>
      <c r="O111" s="140"/>
    </row>
    <row r="112" spans="2:15" x14ac:dyDescent="0.35">
      <c r="B112" s="134"/>
      <c r="C112" s="135"/>
      <c r="D112" s="138"/>
      <c r="E112" s="135"/>
      <c r="F112" s="135"/>
      <c r="G112" s="135"/>
      <c r="H112" s="135"/>
      <c r="I112" s="139"/>
      <c r="J112" s="135"/>
      <c r="K112" s="140"/>
      <c r="L112" s="140"/>
      <c r="M112" s="140"/>
      <c r="N112" s="140"/>
      <c r="O112" s="140"/>
    </row>
    <row r="113" spans="2:15" x14ac:dyDescent="0.35">
      <c r="B113" s="134"/>
      <c r="C113" s="135"/>
      <c r="D113" s="138"/>
      <c r="E113" s="135"/>
      <c r="F113" s="135"/>
      <c r="G113" s="135"/>
      <c r="H113" s="135"/>
      <c r="I113" s="139"/>
      <c r="J113" s="135"/>
      <c r="K113" s="140"/>
      <c r="L113" s="140"/>
      <c r="M113" s="140"/>
      <c r="N113" s="140"/>
      <c r="O113" s="140"/>
    </row>
    <row r="114" spans="2:15" x14ac:dyDescent="0.35">
      <c r="B114" s="134"/>
      <c r="C114" s="135"/>
      <c r="D114" s="138"/>
      <c r="E114" s="135"/>
      <c r="F114" s="135"/>
      <c r="G114" s="135"/>
      <c r="H114" s="135"/>
      <c r="I114" s="139"/>
      <c r="J114" s="135"/>
      <c r="K114" s="140"/>
      <c r="L114" s="140"/>
      <c r="M114" s="140"/>
      <c r="N114" s="140"/>
      <c r="O114" s="140"/>
    </row>
    <row r="115" spans="2:15" x14ac:dyDescent="0.35">
      <c r="B115" s="134"/>
      <c r="C115" s="135"/>
      <c r="D115" s="138"/>
      <c r="E115" s="135"/>
      <c r="F115" s="135"/>
      <c r="G115" s="135"/>
      <c r="H115" s="135"/>
      <c r="I115" s="139"/>
      <c r="J115" s="135"/>
      <c r="K115" s="140"/>
      <c r="L115" s="140"/>
      <c r="M115" s="140"/>
      <c r="N115" s="140"/>
      <c r="O115" s="140"/>
    </row>
    <row r="116" spans="2:15" x14ac:dyDescent="0.35">
      <c r="B116" s="134"/>
      <c r="C116" s="135"/>
      <c r="D116" s="138"/>
      <c r="E116" s="135"/>
      <c r="F116" s="135"/>
      <c r="G116" s="135"/>
      <c r="H116" s="135"/>
      <c r="I116" s="139"/>
      <c r="J116" s="135"/>
      <c r="K116" s="140"/>
      <c r="L116" s="140"/>
      <c r="M116" s="140"/>
      <c r="N116" s="140"/>
      <c r="O116" s="140"/>
    </row>
    <row r="117" spans="2:15" x14ac:dyDescent="0.35">
      <c r="B117" s="134"/>
      <c r="C117" s="135"/>
      <c r="D117" s="138"/>
      <c r="E117" s="135"/>
      <c r="F117" s="135"/>
      <c r="G117" s="135"/>
      <c r="H117" s="135"/>
      <c r="I117" s="139"/>
      <c r="J117" s="135"/>
      <c r="K117" s="140"/>
      <c r="L117" s="140"/>
      <c r="M117" s="140"/>
      <c r="N117" s="140"/>
      <c r="O117" s="140"/>
    </row>
    <row r="118" spans="2:15" x14ac:dyDescent="0.35">
      <c r="B118" s="134"/>
      <c r="C118" s="135"/>
      <c r="D118" s="138"/>
      <c r="E118" s="135"/>
      <c r="F118" s="135"/>
      <c r="G118" s="135"/>
      <c r="H118" s="135"/>
      <c r="I118" s="139"/>
      <c r="J118" s="135"/>
      <c r="K118" s="140"/>
      <c r="L118" s="140"/>
      <c r="M118" s="140"/>
      <c r="N118" s="140"/>
      <c r="O118" s="140"/>
    </row>
    <row r="119" spans="2:15" x14ac:dyDescent="0.35">
      <c r="B119" s="134"/>
      <c r="C119" s="135"/>
      <c r="D119" s="138"/>
      <c r="E119" s="135"/>
      <c r="F119" s="135"/>
      <c r="G119" s="135"/>
      <c r="H119" s="135"/>
      <c r="I119" s="139"/>
      <c r="J119" s="135"/>
      <c r="K119" s="140"/>
      <c r="L119" s="140"/>
      <c r="M119" s="140"/>
      <c r="N119" s="140"/>
      <c r="O119" s="140"/>
    </row>
    <row r="120" spans="2:15" x14ac:dyDescent="0.35">
      <c r="B120" s="134"/>
      <c r="C120" s="135"/>
      <c r="D120" s="138"/>
      <c r="E120" s="135"/>
      <c r="F120" s="135"/>
      <c r="G120" s="135"/>
      <c r="H120" s="135"/>
      <c r="I120" s="139"/>
      <c r="J120" s="135"/>
      <c r="K120" s="140"/>
      <c r="L120" s="140"/>
      <c r="M120" s="140"/>
      <c r="N120" s="140"/>
      <c r="O120" s="140"/>
    </row>
    <row r="121" spans="2:15" x14ac:dyDescent="0.35">
      <c r="B121" s="134"/>
      <c r="C121" s="135"/>
      <c r="D121" s="138"/>
      <c r="E121" s="135"/>
      <c r="F121" s="135"/>
      <c r="G121" s="135"/>
      <c r="H121" s="135"/>
      <c r="I121" s="139"/>
      <c r="J121" s="135"/>
      <c r="K121" s="140"/>
      <c r="L121" s="140"/>
      <c r="M121" s="140"/>
      <c r="N121" s="140"/>
      <c r="O121" s="140"/>
    </row>
    <row r="122" spans="2:15" x14ac:dyDescent="0.35">
      <c r="B122" s="134"/>
      <c r="C122" s="135"/>
      <c r="D122" s="138"/>
      <c r="E122" s="135"/>
      <c r="F122" s="135"/>
      <c r="G122" s="135"/>
      <c r="H122" s="135"/>
      <c r="I122" s="139"/>
      <c r="J122" s="135"/>
      <c r="K122" s="140"/>
      <c r="L122" s="140"/>
      <c r="M122" s="140"/>
      <c r="N122" s="140"/>
      <c r="O122" s="140"/>
    </row>
    <row r="123" spans="2:15" x14ac:dyDescent="0.35">
      <c r="B123" s="134"/>
      <c r="C123" s="135"/>
      <c r="D123" s="138"/>
      <c r="E123" s="135"/>
      <c r="F123" s="135"/>
      <c r="G123" s="135"/>
      <c r="H123" s="135"/>
      <c r="I123" s="139"/>
      <c r="J123" s="135"/>
      <c r="K123" s="140"/>
      <c r="L123" s="140"/>
      <c r="M123" s="140"/>
      <c r="N123" s="140"/>
      <c r="O123" s="140"/>
    </row>
    <row r="124" spans="2:15" x14ac:dyDescent="0.35">
      <c r="B124" s="134"/>
      <c r="C124" s="135"/>
      <c r="D124" s="138"/>
      <c r="E124" s="135"/>
      <c r="F124" s="135"/>
      <c r="G124" s="135"/>
      <c r="H124" s="135"/>
      <c r="I124" s="139"/>
      <c r="J124" s="135"/>
      <c r="K124" s="140"/>
      <c r="L124" s="140"/>
      <c r="M124" s="140"/>
      <c r="N124" s="140"/>
      <c r="O124" s="140"/>
    </row>
    <row r="125" spans="2:15" x14ac:dyDescent="0.35">
      <c r="B125" s="134"/>
      <c r="C125" s="135"/>
      <c r="D125" s="138"/>
      <c r="E125" s="135"/>
      <c r="F125" s="135"/>
      <c r="G125" s="135"/>
      <c r="H125" s="135"/>
      <c r="I125" s="139"/>
      <c r="J125" s="135"/>
      <c r="K125" s="140"/>
      <c r="L125" s="140"/>
      <c r="M125" s="140"/>
      <c r="N125" s="140"/>
      <c r="O125" s="140"/>
    </row>
    <row r="126" spans="2:15" x14ac:dyDescent="0.35">
      <c r="B126" s="134"/>
      <c r="C126" s="135"/>
      <c r="D126" s="138"/>
      <c r="E126" s="135"/>
      <c r="F126" s="135"/>
      <c r="G126" s="135"/>
      <c r="H126" s="135"/>
      <c r="I126" s="139"/>
      <c r="J126" s="135"/>
      <c r="K126" s="140"/>
      <c r="L126" s="140"/>
      <c r="M126" s="140"/>
      <c r="N126" s="140"/>
      <c r="O126" s="140"/>
    </row>
    <row r="127" spans="2:15" x14ac:dyDescent="0.35">
      <c r="B127" s="134"/>
      <c r="C127" s="135"/>
      <c r="D127" s="138"/>
      <c r="E127" s="135"/>
      <c r="F127" s="135"/>
      <c r="G127" s="135"/>
      <c r="H127" s="135"/>
      <c r="I127" s="139"/>
      <c r="J127" s="135"/>
      <c r="K127" s="140"/>
      <c r="L127" s="140"/>
      <c r="M127" s="140"/>
      <c r="N127" s="140"/>
      <c r="O127" s="140"/>
    </row>
    <row r="128" spans="2:15" x14ac:dyDescent="0.35">
      <c r="B128" s="134"/>
      <c r="C128" s="135"/>
      <c r="D128" s="138"/>
      <c r="E128" s="135"/>
      <c r="F128" s="135"/>
      <c r="G128" s="135"/>
      <c r="H128" s="135"/>
      <c r="I128" s="139"/>
      <c r="J128" s="135"/>
      <c r="K128" s="140"/>
      <c r="L128" s="140"/>
      <c r="M128" s="140"/>
      <c r="N128" s="140"/>
      <c r="O128" s="140"/>
    </row>
    <row r="129" spans="2:15" x14ac:dyDescent="0.35">
      <c r="B129" s="134"/>
      <c r="C129" s="135"/>
      <c r="D129" s="138"/>
      <c r="E129" s="135"/>
      <c r="F129" s="135"/>
      <c r="G129" s="135"/>
      <c r="H129" s="135"/>
      <c r="I129" s="139"/>
      <c r="J129" s="135"/>
      <c r="K129" s="140"/>
      <c r="L129" s="140"/>
      <c r="M129" s="140"/>
      <c r="N129" s="140"/>
      <c r="O129" s="140"/>
    </row>
    <row r="130" spans="2:15" x14ac:dyDescent="0.35">
      <c r="B130" s="134"/>
      <c r="C130" s="135"/>
      <c r="D130" s="138"/>
      <c r="E130" s="135"/>
      <c r="F130" s="135"/>
      <c r="G130" s="135"/>
      <c r="H130" s="135"/>
      <c r="I130" s="139"/>
      <c r="J130" s="135"/>
      <c r="K130" s="140"/>
      <c r="L130" s="140"/>
      <c r="M130" s="140"/>
      <c r="N130" s="140"/>
      <c r="O130" s="140"/>
    </row>
    <row r="131" spans="2:15" x14ac:dyDescent="0.35">
      <c r="G131" s="2">
        <f t="shared" si="36"/>
        <v>0</v>
      </c>
    </row>
  </sheetData>
  <sheetProtection algorithmName="SHA-512" hashValue="hEAbJq9EAnWwo0n6T+c095f1/jB6Bg12BGlLYyI1FZct5Mxc2/h8FkQvF2JSrPidFqT/x82XH6aQDwgFXiRFOQ==" saltValue="r9jSepQZVNt9IqeSw5QhkQ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InputOutput</vt:lpstr>
      <vt:lpstr>GasesSummary</vt:lpstr>
      <vt:lpstr>Budget tables</vt:lpstr>
      <vt:lpstr>WAM</vt:lpstr>
      <vt:lpstr>Scenario 51-51%</vt:lpstr>
      <vt:lpstr>Scenario 57-40%</vt:lpstr>
      <vt:lpstr>Scenario 61-33%</vt:lpstr>
      <vt:lpstr>Scenario 65-25%</vt:lpstr>
      <vt:lpstr>Scenario 69-19%</vt:lpstr>
      <vt:lpstr>WAM Projections</vt:lpstr>
      <vt:lpstr>TIM_Output</vt:lpstr>
      <vt:lpstr>LULUCF Models</vt:lpstr>
      <vt:lpstr>CO2 1990-2019</vt:lpstr>
      <vt:lpstr>CH4 1990-2019</vt:lpstr>
      <vt:lpstr>N2O 1990-2019</vt:lpstr>
      <vt:lpstr>All GHGs 1990-2019</vt:lpstr>
      <vt:lpstr>F-Gases</vt:lpstr>
      <vt:lpstr>Other GHG 1990-2019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O'Brien</dc:creator>
  <cp:lastModifiedBy>Reviewer Comment</cp:lastModifiedBy>
  <dcterms:created xsi:type="dcterms:W3CDTF">2021-04-23T08:39:20Z</dcterms:created>
  <dcterms:modified xsi:type="dcterms:W3CDTF">2021-11-08T12:21:14Z</dcterms:modified>
</cp:coreProperties>
</file>